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251\engenharia$\07_Orçamentos\Orçamentos enviados\2013\035-13_MATINHOS\15 - Trecho até rua Paranagua\REV02\"/>
    </mc:Choice>
  </mc:AlternateContent>
  <bookViews>
    <workbookView xWindow="0" yWindow="0" windowWidth="15780" windowHeight="7065" tabRatio="863" firstSheet="1" activeTab="1"/>
  </bookViews>
  <sheets>
    <sheet name="Plan1" sheetId="1" state="hidden" r:id="rId1"/>
    <sheet name="FINAL" sheetId="67" r:id="rId2"/>
  </sheets>
  <definedNames>
    <definedName name="_xlnm.Print_Area" localSheetId="1">FINAL!$A$2:$F$110</definedName>
    <definedName name="_xlnm.Print_Area" localSheetId="0">Plan1!$B$6:$G$121</definedName>
    <definedName name="_xlnm.Print_Titles" localSheetId="1">FINAL!#REF!</definedName>
    <definedName name="_xlnm.Print_Titles" localSheetId="0">Plan1!$2:$4</definedName>
  </definedNames>
  <calcPr calcId="152511"/>
</workbook>
</file>

<file path=xl/calcChain.xml><?xml version="1.0" encoding="utf-8"?>
<calcChain xmlns="http://schemas.openxmlformats.org/spreadsheetml/2006/main">
  <c r="F15" i="67" l="1"/>
  <c r="F16" i="67"/>
  <c r="F17" i="67"/>
  <c r="F18" i="67"/>
  <c r="F21" i="67"/>
  <c r="F22" i="67"/>
  <c r="F23" i="67"/>
  <c r="F24" i="67"/>
  <c r="F25" i="67"/>
  <c r="F26" i="67"/>
  <c r="F28" i="67"/>
  <c r="F29" i="67"/>
  <c r="F30" i="67"/>
  <c r="F31" i="67"/>
  <c r="F32" i="67"/>
  <c r="F33" i="67"/>
  <c r="F35" i="67"/>
  <c r="F36" i="67"/>
  <c r="F37" i="67"/>
  <c r="F38" i="67"/>
  <c r="F39" i="67"/>
  <c r="F40" i="67"/>
  <c r="F41" i="67"/>
  <c r="F42" i="67"/>
  <c r="F43" i="67"/>
  <c r="F44" i="67"/>
  <c r="F46" i="67"/>
  <c r="F47" i="67"/>
  <c r="F48" i="67"/>
  <c r="F49" i="67"/>
  <c r="F50" i="67"/>
  <c r="F51" i="67"/>
  <c r="F52" i="67"/>
  <c r="F54" i="67"/>
  <c r="F55" i="67"/>
  <c r="F56" i="67"/>
  <c r="F57" i="67"/>
  <c r="F58" i="67"/>
  <c r="F59" i="67"/>
  <c r="F61" i="67"/>
  <c r="F62" i="67"/>
  <c r="F63" i="67"/>
  <c r="F66" i="67"/>
  <c r="F67" i="67"/>
  <c r="F68" i="67"/>
  <c r="F69" i="67"/>
  <c r="F71" i="67"/>
  <c r="F72" i="67"/>
  <c r="F73" i="67"/>
  <c r="F75" i="67"/>
  <c r="F76" i="67"/>
  <c r="F77" i="67"/>
  <c r="F78" i="67"/>
  <c r="F79" i="67"/>
  <c r="F81" i="67"/>
  <c r="F82" i="67"/>
  <c r="F83" i="67"/>
  <c r="F84" i="67"/>
  <c r="F85" i="67"/>
  <c r="F88" i="67"/>
  <c r="F89" i="67"/>
  <c r="F90" i="67"/>
  <c r="F91" i="67"/>
  <c r="F92" i="67"/>
  <c r="F94" i="67"/>
  <c r="F93" i="67" s="1"/>
  <c r="F96" i="67"/>
  <c r="F95" i="67" s="1"/>
  <c r="F97" i="67"/>
  <c r="F98" i="67"/>
  <c r="F101" i="67"/>
  <c r="F102" i="67"/>
  <c r="F103" i="67"/>
  <c r="F27" i="67" l="1"/>
  <c r="F74" i="67"/>
  <c r="F34" i="67"/>
  <c r="F20" i="67"/>
  <c r="F14" i="67"/>
  <c r="F65" i="67"/>
  <c r="F60" i="67"/>
  <c r="F45" i="67"/>
  <c r="F100" i="67"/>
  <c r="F99" i="67" s="1"/>
  <c r="F87" i="67"/>
  <c r="F86" i="67" s="1"/>
  <c r="F70" i="67"/>
  <c r="F53" i="67"/>
  <c r="F80" i="67"/>
  <c r="B4" i="67"/>
  <c r="A4" i="67"/>
  <c r="F19" i="67" l="1"/>
  <c r="F64" i="67"/>
  <c r="F13" i="67" s="1"/>
  <c r="D113" i="1"/>
  <c r="D112" i="1"/>
  <c r="F4" i="67" l="1"/>
  <c r="F6" i="67" s="1"/>
  <c r="F8" i="67" s="1"/>
  <c r="F105" i="67"/>
  <c r="E117" i="1"/>
  <c r="F117" i="1" s="1"/>
  <c r="E119" i="1"/>
  <c r="F119" i="1" s="1"/>
  <c r="F107" i="67" l="1"/>
  <c r="F109" i="67" s="1"/>
  <c r="D42" i="1"/>
  <c r="D41" i="1"/>
  <c r="D38" i="1"/>
  <c r="E42" i="1"/>
  <c r="E40" i="1"/>
  <c r="E39" i="1"/>
  <c r="E38" i="1"/>
  <c r="F38" i="1" s="1"/>
  <c r="D72" i="1"/>
  <c r="D71" i="1"/>
  <c r="D69" i="1"/>
  <c r="D56" i="1"/>
  <c r="D40" i="1" s="1"/>
  <c r="D55" i="1"/>
  <c r="D39" i="1" s="1"/>
  <c r="D53" i="1"/>
  <c r="D37" i="1" s="1"/>
  <c r="D66" i="1"/>
  <c r="D47" i="1" s="1"/>
  <c r="D63" i="1" s="1"/>
  <c r="F42" i="1" l="1"/>
  <c r="D50" i="1"/>
  <c r="E50" i="1"/>
  <c r="E58" i="1" s="1"/>
  <c r="F58" i="1" s="1"/>
  <c r="E46" i="1"/>
  <c r="E48" i="1"/>
  <c r="E47" i="1"/>
  <c r="F47" i="1" s="1"/>
  <c r="D49" i="1"/>
  <c r="D65" i="1" s="1"/>
  <c r="E33" i="1"/>
  <c r="D48" i="1"/>
  <c r="D46" i="1"/>
  <c r="D62" i="1" s="1"/>
  <c r="D45" i="1"/>
  <c r="D61" i="1" s="1"/>
  <c r="D32" i="1"/>
  <c r="F32" i="1" s="1"/>
  <c r="D31" i="1"/>
  <c r="F31" i="1" s="1"/>
  <c r="D29" i="1"/>
  <c r="F48" i="1" l="1"/>
  <c r="E49" i="1"/>
  <c r="E65" i="1" s="1"/>
  <c r="E73" i="1" s="1"/>
  <c r="F73" i="1" s="1"/>
  <c r="E41" i="1"/>
  <c r="D64" i="1"/>
  <c r="E63" i="1"/>
  <c r="E71" i="1" s="1"/>
  <c r="F71" i="1" s="1"/>
  <c r="E55" i="1"/>
  <c r="E64" i="1"/>
  <c r="E72" i="1" s="1"/>
  <c r="F72" i="1" s="1"/>
  <c r="E56" i="1"/>
  <c r="E62" i="1"/>
  <c r="E70" i="1" s="1"/>
  <c r="F70" i="1" s="1"/>
  <c r="E54" i="1"/>
  <c r="E66" i="1"/>
  <c r="F50" i="1"/>
  <c r="F46" i="1"/>
  <c r="F77" i="1"/>
  <c r="E78" i="1"/>
  <c r="F78" i="1" s="1"/>
  <c r="E12" i="1"/>
  <c r="D34" i="1"/>
  <c r="F34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F49" i="1" l="1"/>
  <c r="E57" i="1"/>
  <c r="F57" i="1" s="1"/>
  <c r="F62" i="1"/>
  <c r="F64" i="1"/>
  <c r="F76" i="1"/>
  <c r="F65" i="1"/>
  <c r="F66" i="1"/>
  <c r="E74" i="1"/>
  <c r="F74" i="1" s="1"/>
  <c r="F63" i="1"/>
  <c r="D33" i="1"/>
  <c r="E29" i="1"/>
  <c r="E37" i="1" s="1"/>
  <c r="F37" i="1" s="1"/>
  <c r="F54" i="1"/>
  <c r="F30" i="1"/>
  <c r="F33" i="1" l="1"/>
  <c r="K41" i="1"/>
  <c r="F29" i="1"/>
  <c r="E45" i="1"/>
  <c r="E53" i="1" s="1"/>
  <c r="E18" i="1"/>
  <c r="E98" i="1"/>
  <c r="E94" i="1"/>
  <c r="E90" i="1"/>
  <c r="E87" i="1"/>
  <c r="E84" i="1"/>
  <c r="E97" i="1"/>
  <c r="E93" i="1"/>
  <c r="E89" i="1"/>
  <c r="E86" i="1"/>
  <c r="E83" i="1"/>
  <c r="F53" i="1"/>
  <c r="F56" i="1"/>
  <c r="F55" i="1"/>
  <c r="E61" i="1" l="1"/>
  <c r="F45" i="1"/>
  <c r="E16" i="1"/>
  <c r="E20" i="1"/>
  <c r="E14" i="1"/>
  <c r="F61" i="1" l="1"/>
  <c r="E69" i="1"/>
  <c r="F69" i="1" s="1"/>
  <c r="E23" i="1"/>
  <c r="E24" i="1" l="1"/>
  <c r="F24" i="1" s="1"/>
  <c r="F39" i="1"/>
  <c r="F98" i="1"/>
  <c r="D97" i="1"/>
  <c r="F97" i="1" s="1"/>
  <c r="F94" i="1"/>
  <c r="F90" i="1"/>
  <c r="F87" i="1"/>
  <c r="D93" i="1"/>
  <c r="D86" i="1"/>
  <c r="F86" i="1" s="1"/>
  <c r="D83" i="1"/>
  <c r="D89" i="1"/>
  <c r="F89" i="1" s="1"/>
  <c r="F84" i="1"/>
  <c r="D115" i="1"/>
  <c r="F115" i="1" s="1"/>
  <c r="D114" i="1"/>
  <c r="F114" i="1" s="1"/>
  <c r="F113" i="1"/>
  <c r="F112" i="1"/>
  <c r="D111" i="1"/>
  <c r="F111" i="1" s="1"/>
  <c r="F23" i="1"/>
  <c r="D18" i="1"/>
  <c r="D20" i="1"/>
  <c r="D12" i="1"/>
  <c r="D16" i="1"/>
  <c r="D14" i="1"/>
  <c r="F110" i="1" l="1"/>
  <c r="E25" i="1"/>
  <c r="F40" i="1"/>
  <c r="F93" i="1"/>
  <c r="F83" i="1"/>
  <c r="F18" i="1"/>
  <c r="F12" i="1"/>
  <c r="F16" i="1"/>
  <c r="F20" i="1"/>
  <c r="F14" i="1"/>
  <c r="F80" i="1" l="1"/>
  <c r="F6" i="1"/>
  <c r="F41" i="1"/>
  <c r="F27" i="1" s="1"/>
  <c r="F25" i="1"/>
  <c r="F22" i="1" s="1"/>
  <c r="F121" i="1" l="1"/>
</calcChain>
</file>

<file path=xl/sharedStrings.xml><?xml version="1.0" encoding="utf-8"?>
<sst xmlns="http://schemas.openxmlformats.org/spreadsheetml/2006/main" count="457" uniqueCount="254">
  <si>
    <t>Dragagem de material DMT 5 Km</t>
  </si>
  <si>
    <t>Av. Paraná x Ponta da pedra</t>
  </si>
  <si>
    <t>Morro de Matinhos x Canal Av Paraná</t>
  </si>
  <si>
    <t>Ponte da Pedra x Rio Matinhos</t>
  </si>
  <si>
    <t>Rio Matinhos x Rua " B "</t>
  </si>
  <si>
    <t>Av. Paraná x Ponta da Pedra</t>
  </si>
  <si>
    <t>Ponta da Pedra x Rio Matinhos</t>
  </si>
  <si>
    <t>Rua "B" x Rua Argentina</t>
  </si>
  <si>
    <t>Guia Corrente - Av. Paraná</t>
  </si>
  <si>
    <t>Molhe Ponta da Pedra</t>
  </si>
  <si>
    <t>Guia Corrente - Rio Matinhos</t>
  </si>
  <si>
    <t>Headland - Rua Medianeira</t>
  </si>
  <si>
    <t>Guia Corrente Saint Etiene</t>
  </si>
  <si>
    <t>Headland - Rua Argentina</t>
  </si>
  <si>
    <t>Canal da Av. Paraná</t>
  </si>
  <si>
    <t>Canal do Rio Matinhos</t>
  </si>
  <si>
    <t>Canal da Saint Etiene</t>
  </si>
  <si>
    <t>Drenagem urbana</t>
  </si>
  <si>
    <t>m3</t>
  </si>
  <si>
    <t xml:space="preserve"> - 1.116,08m2 x (71 x 20)</t>
  </si>
  <si>
    <t xml:space="preserve"> - 308,80m2 x (35 x 20)</t>
  </si>
  <si>
    <t xml:space="preserve"> - 144,50 m² x (67 x 20)</t>
  </si>
  <si>
    <t>m</t>
  </si>
  <si>
    <t xml:space="preserve"> - 1.222,00m2 x (62*20)</t>
  </si>
  <si>
    <t xml:space="preserve"> - 144,50 m2 x ((133+81) x 20)</t>
  </si>
  <si>
    <t>Rio Matinhos x Rua Medianeira</t>
  </si>
  <si>
    <t>Av Paranaguá sobre Canal Saint Etiene (Rodoviário)</t>
  </si>
  <si>
    <t>Av. Atlantica sobre Canal Saint Etiene (Pedestres)</t>
  </si>
  <si>
    <t>Av. Atlantica sobre Canal Rio Matinhos (Pedestres)</t>
  </si>
  <si>
    <t>Av Paranaguá sobre Canal Rio Matinhos (Rodoviário)</t>
  </si>
  <si>
    <t>Av. JK sobre Canal Av. Paraná ( Rodoviário)</t>
  </si>
  <si>
    <t>m2</t>
  </si>
  <si>
    <t xml:space="preserve"> - Escavação em leito de rio com dragline - solo mole</t>
  </si>
  <si>
    <t xml:space="preserve"> - Enrocamento em tetrapoles pré-moldado</t>
  </si>
  <si>
    <t xml:space="preserve"> - Geobolsa preenchido com areia dragada</t>
  </si>
  <si>
    <t>ESTRUTURAS MARÍTIMAS</t>
  </si>
  <si>
    <t>MACRO DRENAGEM</t>
  </si>
  <si>
    <t>m³</t>
  </si>
  <si>
    <t xml:space="preserve"> - Canal pré-moldado de concreto ( 70,0 x 5,50 - livre)</t>
  </si>
  <si>
    <t>1  Oceano x Av. JK -</t>
  </si>
  <si>
    <t>2 Av. JK x Ramos Martinho</t>
  </si>
  <si>
    <t>3  Ramos Martinho x Canal</t>
  </si>
  <si>
    <t xml:space="preserve"> - Canal pré-moldado de concreto ( 3,0 x 2,00)</t>
  </si>
  <si>
    <t xml:space="preserve"> - Canal pré-moldado de concreto ( 4,50 x 2,00)</t>
  </si>
  <si>
    <t xml:space="preserve"> - Canal pré-moldado de concreto ( 7,0 x 3,00)</t>
  </si>
  <si>
    <t xml:space="preserve"> - Canal pré-moldado de concreto (25,0 x 4,0 - livre)</t>
  </si>
  <si>
    <t>vb</t>
  </si>
  <si>
    <t xml:space="preserve"> - Escavação em leito de rio - solo mole</t>
  </si>
  <si>
    <t>km</t>
  </si>
  <si>
    <t xml:space="preserve"> - Seção celular pré-moldada 1,00 x 0,60</t>
  </si>
  <si>
    <t xml:space="preserve"> - Seção celular pré-moldada 1,00 x 0,80</t>
  </si>
  <si>
    <t xml:space="preserve"> - Seção celular pré-moldada 1,00 x 1,00</t>
  </si>
  <si>
    <t xml:space="preserve"> - Seção celular pré-moldada 1,20 x 1,20</t>
  </si>
  <si>
    <t xml:space="preserve"> - Seção celular pré-moldada 1,60 x 1,50</t>
  </si>
  <si>
    <t xml:space="preserve"> - Seção celular pré-moldada 1,80 x 1,80</t>
  </si>
  <si>
    <t xml:space="preserve"> - Seção celular pré-moldada 2,00 x 2,00</t>
  </si>
  <si>
    <t xml:space="preserve"> - Seção celular pré-moldada 2,50 x 2,5</t>
  </si>
  <si>
    <t xml:space="preserve"> - Concreto Ciclópico</t>
  </si>
  <si>
    <t xml:space="preserve"> - Enrocamento em pedra detonada</t>
  </si>
  <si>
    <t>Unid</t>
  </si>
  <si>
    <t>Quant</t>
  </si>
  <si>
    <t>R$ Unit</t>
  </si>
  <si>
    <t>R$ Total</t>
  </si>
  <si>
    <t>Serviço</t>
  </si>
  <si>
    <t xml:space="preserve"> - Berço de Brita 2</t>
  </si>
  <si>
    <t>Obs.: A quantidade é de enrocamento considerando os vazios!</t>
  </si>
  <si>
    <t>Vb</t>
  </si>
  <si>
    <t>ENGORDAMENTO</t>
  </si>
  <si>
    <t>PROTEÇÃO COSTEIRA COM GEOFORMA TEXTIL</t>
  </si>
  <si>
    <t>REVITALIZAÇÃO URBANISTICA DA ORLA</t>
  </si>
  <si>
    <t>Pavimento</t>
  </si>
  <si>
    <t>Calçadas / Acessibilidade / Obras Civis / Paisag. E Mob Urbano / Ilum</t>
  </si>
  <si>
    <t>Mob / Desmob / Inst de Canteiro (4%)</t>
  </si>
  <si>
    <t>Recuperações Ambientais (3%)</t>
  </si>
  <si>
    <t>OBRAS DE ARTE ESPECIAIS</t>
  </si>
  <si>
    <t>PRÉVIA ORÇAMENTÁRIA</t>
  </si>
  <si>
    <t>M3</t>
  </si>
  <si>
    <t>UN</t>
  </si>
  <si>
    <t>DESCRIÇÃO DOS SERVIÇOS</t>
  </si>
  <si>
    <t>ITEM</t>
  </si>
  <si>
    <t>M2</t>
  </si>
  <si>
    <t>M</t>
  </si>
  <si>
    <t>TOTAL</t>
  </si>
  <si>
    <t xml:space="preserve">      </t>
  </si>
  <si>
    <t xml:space="preserve">PAVIMENTAÇÃO                                                                                                                                                                                            </t>
  </si>
  <si>
    <t xml:space="preserve">CONCREGRAMA                                                                                                                                                                                             </t>
  </si>
  <si>
    <t xml:space="preserve">PAVIMENTAÇÃO ASFÁLTICA - RUA                                                                                                                                                                            </t>
  </si>
  <si>
    <t xml:space="preserve">PAVIMENTAÇÃO ASFÁLTICA - CICLOVIA/PISTA DE CORRIDA                                                                                                                                                      </t>
  </si>
  <si>
    <t xml:space="preserve">PETIT PAVET                                                                                                                                                                                             </t>
  </si>
  <si>
    <t xml:space="preserve">MEIO FIO/GUIAS                                                                                                                                                                                          </t>
  </si>
  <si>
    <t xml:space="preserve">SINALIZAÇÃO                                                                                                                                                                                             </t>
  </si>
  <si>
    <t xml:space="preserve">EDIFICAÇÕES                                                                                                                                                                                             </t>
  </si>
  <si>
    <t xml:space="preserve">ESTRUTURAS COMPLEMENTARES                                                                                                                                                                               </t>
  </si>
  <si>
    <t xml:space="preserve">BICICLETÁRIO                                                                                                                                                                                            </t>
  </si>
  <si>
    <t xml:space="preserve">GUIA PNE                                                                                                                                                                                                </t>
  </si>
  <si>
    <t xml:space="preserve">PAISAGISMO                                                                                                                                                                                              </t>
  </si>
  <si>
    <t xml:space="preserve">ESPÉCIES ARBUSTIVAS                                                                                                                                                                                     </t>
  </si>
  <si>
    <t xml:space="preserve">GRAMADOS                                                                                                                                                                                                </t>
  </si>
  <si>
    <t xml:space="preserve">ILUMINAÇÃO                                                                                                                                                                                              </t>
  </si>
  <si>
    <t>REVITALIZAÇÃO URBANÍSTICA</t>
  </si>
  <si>
    <t>T</t>
  </si>
  <si>
    <t xml:space="preserve">ESCAVAÇÃO MECÂNICA - SOLO 1ª CATEGORIA                                                                                                                                                      </t>
  </si>
  <si>
    <t xml:space="preserve">CARGA/TRANSPORTE/ESPALHAMENTO - MAT. PARA BOTA FORA (15 KM)                                                                                                                                                                       </t>
  </si>
  <si>
    <t xml:space="preserve">LASTRO - BRITA                                                                                                                                                                                         </t>
  </si>
  <si>
    <t xml:space="preserve">LASTRO - CONCRETO MAGRO                                                                                                                                                                                </t>
  </si>
  <si>
    <t xml:space="preserve">MEIO FIO - PRÉ-MOLDADO CONCRETO                                                                                                                                                                        </t>
  </si>
  <si>
    <t xml:space="preserve">DEMOLIÇÕES/RETIRADAS                                                                                                                                                                                  </t>
  </si>
  <si>
    <t xml:space="preserve">DEMOLIÇÃO - QUIOSQUES                                                                                                                                                                                  </t>
  </si>
  <si>
    <t xml:space="preserve">RETIRADA - CALÇADA EXISTENTE                                                                                                                                                                          </t>
  </si>
  <si>
    <t xml:space="preserve">CALÇADA - PAVER                                                                                                                                                                                        </t>
  </si>
  <si>
    <t xml:space="preserve">REGULARIZAÇÃO - SUBLEITO (MANUAL)                                                                                                                                                               </t>
  </si>
  <si>
    <t xml:space="preserve">LASTRO - AREIA                                                                                                                                                                                         </t>
  </si>
  <si>
    <t xml:space="preserve">LASTRO - PEDRISCO                                                                                                                                                                                      </t>
  </si>
  <si>
    <t xml:space="preserve">FRESAGEM - PAVIMENTO E = 05 CM                                                                                                                                                                           </t>
  </si>
  <si>
    <t xml:space="preserve">REMOÇÃO - BASE  EXISTENTE (ATÉ 0,50 M)                                                                                                                                                                    </t>
  </si>
  <si>
    <t xml:space="preserve">PINTURA LIGAÇÃO - RR 1C                                                                                                                                                                            </t>
  </si>
  <si>
    <t xml:space="preserve">IMPRIMAÇÃO - CM 30                                                                                                                                                                                    </t>
  </si>
  <si>
    <t xml:space="preserve">REVESTIMENTO - CBUQ FAIXA C                                                                                                                                                                             </t>
  </si>
  <si>
    <t xml:space="preserve">GUIA REBAIXADA - PRÉ-MOLDADA CONCRETO                                                                                                                                                                  </t>
  </si>
  <si>
    <t xml:space="preserve">PARALELEPÍPEDO - GRANITO                                                                                                                                                                               </t>
  </si>
  <si>
    <t xml:space="preserve">SINALIZAÇÃO - HORIZONTAL                                                                                                                                                                                  </t>
  </si>
  <si>
    <t xml:space="preserve">PINTURA - FAIXA PEDESTRE                                                                                                                                                                            </t>
  </si>
  <si>
    <t xml:space="preserve">PINTURA - FAIXA CONTÍNUA (AMARELA)                                                                                                                                                               </t>
  </si>
  <si>
    <t xml:space="preserve">PINTURA - FAIXA SECCIONADA (BRANCA)                                                                                                                                                          </t>
  </si>
  <si>
    <t xml:space="preserve">PINTURA - FAIXA CONTÍNUA (BRANCA)                                                                                                                                                        </t>
  </si>
  <si>
    <t xml:space="preserve">SINALIZAÇÃO - VERTICAL                                                                                                                                                                                    </t>
  </si>
  <si>
    <t xml:space="preserve">INIBIDORES - PASSAGEM                                                                                                                                                                                  </t>
  </si>
  <si>
    <t xml:space="preserve">ESPÉCIES - ARBÓREAS                                                                                                                                                                                       </t>
  </si>
  <si>
    <t xml:space="preserve">RETIRADA - ESPÉCIES ARBÓREAS                                                                                                                                                                    </t>
  </si>
  <si>
    <t xml:space="preserve">POSTES - ILUMINAÇÃO                                                                                                                                                                                    </t>
  </si>
  <si>
    <t xml:space="preserve">POSTE - TIPO 1 (CONFORME PROJETO)                                                                                                                                                                                           </t>
  </si>
  <si>
    <t xml:space="preserve">POSTE - TIPO 2 (CONFORME PROJETO)                                                                                                                                                                                           </t>
  </si>
  <si>
    <t xml:space="preserve">RETIRADA - POSTES                                                                                                                                                                                      </t>
  </si>
  <si>
    <t xml:space="preserve">BANCO CONCRETO - TIPO 1 (CONFORME PROJETO)                                                                                                                                                       </t>
  </si>
  <si>
    <t xml:space="preserve">BASE - BRITA GRADUADA (CONFORME PROJETO)                                                                                                                                                                                 </t>
  </si>
  <si>
    <t xml:space="preserve">PLANTIO - ARBUSTO (BUGANVILIA)                                                                                                                                                                                              </t>
  </si>
  <si>
    <t xml:space="preserve">PAVER - E = 08 CM (FORN./ASSENTAM.)                                                                                                                                                   </t>
  </si>
  <si>
    <t xml:space="preserve">CONCREGRAMA  E = 08 CM (FORN./ASSENTAM.)                                                                                                                                           </t>
  </si>
  <si>
    <t xml:space="preserve">SUB BASE - MACADAME SECO PREENCHIDO BRITA GRADUADA (CONF. PROJETO)                                                                                                                                                 </t>
  </si>
  <si>
    <t xml:space="preserve">PETIT PAVET - FORN./ASSENTAM.                                                                                                                                         </t>
  </si>
  <si>
    <t xml:space="preserve">PLACA - SINALIZAÇÃO (MODELO 1)                                                                                                                                                                         </t>
  </si>
  <si>
    <t xml:space="preserve">PLACA - SINALIZAÇÃO (MODELO 2)                                                                                                                                                                         </t>
  </si>
  <si>
    <t xml:space="preserve">PLACA - INDICAÇÃO (RUA)                                                                                                                                                                                </t>
  </si>
  <si>
    <t xml:space="preserve">FORN. MATERIAIS/CONSTRUÇÃO - QUIOSQUE (100 M2)                                                                                                                                             </t>
  </si>
  <si>
    <t xml:space="preserve">FORN. MATERIAIS/CONSTRUÇÃO - ESTRUTURA PERGOLADA ESTAR (100 M2)                                                                                                                        </t>
  </si>
  <si>
    <t xml:space="preserve">FORN. MATERIAIS/CONSTRUÇÃO - ESTRUTURA PERGOLADA SANITÁRIA (64 M2)                                                                                                                        </t>
  </si>
  <si>
    <t xml:space="preserve">FORN. MATERIAIS/CONSTRUÇÃO - MIRANTE GUARDA VIDAS (D = 3,00 M/H = 9,50 M)                                                                                         </t>
  </si>
  <si>
    <t xml:space="preserve">FORN. MATERIAIS/CONSTRUÇÃO - PONTO ÔNIBUS (9 M2)                                                                                                                                       </t>
  </si>
  <si>
    <t xml:space="preserve">LIXEIRA - METÁLICA                                                                                                                                                                                      </t>
  </si>
  <si>
    <t xml:space="preserve">PLANTIO - ÁRVORE (PALMEIRA NATIVA - JERIVÁ)                                                                                                                                                                                </t>
  </si>
  <si>
    <t xml:space="preserve">PLANTIO - ÁRVORE (COQUEIRO BAHIA)                                                                                                                                                                                       </t>
  </si>
  <si>
    <t xml:space="preserve">PLANTIO - ÁRVORE (COQUEIRO) (PLANTADO NA PRAIA)                                                                                                                                                                              </t>
  </si>
  <si>
    <t xml:space="preserve">PLANTIO - ÁRVORE (SOMBREIRO)                                                                                                                                                                                               </t>
  </si>
  <si>
    <t xml:space="preserve">RESTINGA - RECOMPOSIÇÃO                                                                                                                                                                     </t>
  </si>
  <si>
    <t xml:space="preserve">RESTINGA - CERCA PROTETORA                                                                                                                                                                 </t>
  </si>
  <si>
    <t xml:space="preserve">REGULARIZAÇÃO - PAVIMENTO (MECÂNICA)                                                                                                                                                               </t>
  </si>
  <si>
    <t xml:space="preserve">GRAMA </t>
  </si>
  <si>
    <t>1.1</t>
  </si>
  <si>
    <t>1.1.1</t>
  </si>
  <si>
    <t>1.2</t>
  </si>
  <si>
    <t>1.2.1</t>
  </si>
  <si>
    <t>QUANTIDADE</t>
  </si>
  <si>
    <t>PREÇO UNITÁRIO</t>
  </si>
  <si>
    <t>PREÇO TOTAL</t>
  </si>
  <si>
    <t>TOTAL GERAL</t>
  </si>
  <si>
    <t>PROJETO EXECUTIVO DE PROTEÇÃO DA ORLA DE MATINHOS - REVITALIZAÇÃO URBANA</t>
  </si>
  <si>
    <t>1.1.2</t>
  </si>
  <si>
    <t>1.1.4</t>
  </si>
  <si>
    <t>1.3</t>
  </si>
  <si>
    <t>1.3.1</t>
  </si>
  <si>
    <t>MOBILIZAÇÃO E DESMOBILIZAÇÃO</t>
  </si>
  <si>
    <t>Data base: set/2013</t>
  </si>
  <si>
    <t>1.1.3</t>
  </si>
  <si>
    <t>1.2.1.1</t>
  </si>
  <si>
    <t>1.2.1.2</t>
  </si>
  <si>
    <t>1.2.1.3</t>
  </si>
  <si>
    <t>1.2.1.4</t>
  </si>
  <si>
    <t>1.2.1.5</t>
  </si>
  <si>
    <t>1.2.1.6</t>
  </si>
  <si>
    <t>1.2.2</t>
  </si>
  <si>
    <t>1.2.2.1</t>
  </si>
  <si>
    <t>1.2.2.2</t>
  </si>
  <si>
    <t>1.2.2.3</t>
  </si>
  <si>
    <t>1.2.2.4</t>
  </si>
  <si>
    <t>1.2.2.5</t>
  </si>
  <si>
    <t>1.2.2.6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</si>
  <si>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</si>
  <si>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</si>
  <si>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</si>
  <si>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</si>
  <si>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</si>
  <si>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</si>
  <si>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</si>
  <si>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</si>
  <si>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1.2.3.8</t>
  </si>
  <si>
    <t>1.2.3.9</t>
  </si>
  <si>
    <t>1.2.3.10</t>
  </si>
  <si>
    <t>1.2.4</t>
  </si>
  <si>
    <t>1.2.4.1</t>
  </si>
  <si>
    <t>1.2.4.2</t>
  </si>
  <si>
    <t>1.2.4.3</t>
  </si>
  <si>
    <t>1.2.4.4</t>
  </si>
  <si>
    <t>1.2.4.5</t>
  </si>
  <si>
    <t>1.2.4.6</t>
  </si>
  <si>
    <t>1.2.4.7</t>
  </si>
  <si>
    <t>1.2.5</t>
  </si>
  <si>
    <t>1.2.5.1</t>
  </si>
  <si>
    <t>1.2.5.2</t>
  </si>
  <si>
    <t>1.2.5.3</t>
  </si>
  <si>
    <t>1.2.5.4</t>
  </si>
  <si>
    <t>1.2.5.5</t>
  </si>
  <si>
    <t>1.2.5.6</t>
  </si>
  <si>
    <t>1.2.6</t>
  </si>
  <si>
    <t>1.2.6.1</t>
  </si>
  <si>
    <t>1.2.6.2</t>
  </si>
  <si>
    <t>1.2.6.3</t>
  </si>
  <si>
    <t>1.3.1.1</t>
  </si>
  <si>
    <t>1.3.1.2</t>
  </si>
  <si>
    <t>1.3.1.3</t>
  </si>
  <si>
    <t>1.3.1.4</t>
  </si>
  <si>
    <t>1.3.2</t>
  </si>
  <si>
    <t>1.3.2.1</t>
  </si>
  <si>
    <t>1.3.2.2</t>
  </si>
  <si>
    <t>1.3.2.3</t>
  </si>
  <si>
    <t>1.4</t>
  </si>
  <si>
    <t>1.4.1</t>
  </si>
  <si>
    <t>1.4.2</t>
  </si>
  <si>
    <t>1.4.3</t>
  </si>
  <si>
    <t>1.4.4</t>
  </si>
  <si>
    <t>1.4.5</t>
  </si>
  <si>
    <t>1.5</t>
  </si>
  <si>
    <t>1.5.1</t>
  </si>
  <si>
    <t>1.5.2</t>
  </si>
  <si>
    <t>1.5.3</t>
  </si>
  <si>
    <t>1.5.4</t>
  </si>
  <si>
    <t>1.5.5</t>
  </si>
  <si>
    <t>1.6</t>
  </si>
  <si>
    <t>1.6.1</t>
  </si>
  <si>
    <t>1.6.1.1</t>
  </si>
  <si>
    <t>1.6.1.2</t>
  </si>
  <si>
    <t>1.6.1.3</t>
  </si>
  <si>
    <t>1.6.1.4</t>
  </si>
  <si>
    <t>1.6.1.5</t>
  </si>
  <si>
    <t>1.6.2</t>
  </si>
  <si>
    <t>1.6.2.1</t>
  </si>
  <si>
    <t>1.6.3</t>
  </si>
  <si>
    <t>1.6.3.1</t>
  </si>
  <si>
    <t>1.6.3.2</t>
  </si>
  <si>
    <t>1.6.3.3</t>
  </si>
  <si>
    <t>1.7</t>
  </si>
  <si>
    <t>1.7.1</t>
  </si>
  <si>
    <t>1.7.1.1</t>
  </si>
  <si>
    <t>1.7.1.2</t>
  </si>
  <si>
    <t>1.7.1.3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</si>
</sst>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3"/>
      <color theme="1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121">
    <xf numFmtId="0" fontId="0" fillId="0" borderId="0" xfId="0"/>
    <xf numFmtId="0" fontId="4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2" borderId="0" xfId="1" applyFont="1" applyFill="1"/>
    <xf numFmtId="0" fontId="0" fillId="0" borderId="5" xfId="0" applyBorder="1"/>
    <xf numFmtId="0" fontId="0" fillId="0" borderId="6" xfId="0" applyBorder="1" applyAlignment="1">
      <alignment horizontal="center"/>
    </xf>
    <xf numFmtId="43" fontId="0" fillId="0" borderId="6" xfId="1" applyFont="1" applyBorder="1"/>
    <xf numFmtId="43" fontId="0" fillId="0" borderId="7" xfId="1" applyFont="1" applyBorder="1"/>
    <xf numFmtId="0" fontId="4" fillId="0" borderId="5" xfId="0" applyFont="1" applyBorder="1"/>
    <xf numFmtId="43" fontId="0" fillId="2" borderId="6" xfId="1" applyFont="1" applyFill="1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43" fontId="0" fillId="0" borderId="6" xfId="0" applyNumberFormat="1" applyBorder="1"/>
    <xf numFmtId="0" fontId="0" fillId="0" borderId="8" xfId="0" applyBorder="1"/>
    <xf numFmtId="0" fontId="0" fillId="0" borderId="9" xfId="0" applyBorder="1" applyAlignment="1">
      <alignment horizontal="center"/>
    </xf>
    <xf numFmtId="43" fontId="0" fillId="0" borderId="9" xfId="1" applyFont="1" applyBorder="1"/>
    <xf numFmtId="43" fontId="0" fillId="2" borderId="9" xfId="1" applyFont="1" applyFill="1" applyBorder="1"/>
    <xf numFmtId="43" fontId="0" fillId="0" borderId="10" xfId="1" applyFont="1" applyBorder="1"/>
    <xf numFmtId="0" fontId="4" fillId="3" borderId="2" xfId="0" applyFont="1" applyFill="1" applyBorder="1"/>
    <xf numFmtId="0" fontId="0" fillId="3" borderId="3" xfId="0" applyFill="1" applyBorder="1" applyAlignment="1">
      <alignment horizontal="center"/>
    </xf>
    <xf numFmtId="43" fontId="0" fillId="3" borderId="3" xfId="1" applyFont="1" applyFill="1" applyBorder="1"/>
    <xf numFmtId="0" fontId="4" fillId="3" borderId="5" xfId="0" applyFont="1" applyFill="1" applyBorder="1"/>
    <xf numFmtId="0" fontId="0" fillId="3" borderId="6" xfId="0" applyFill="1" applyBorder="1" applyAlignment="1">
      <alignment horizontal="center"/>
    </xf>
    <xf numFmtId="43" fontId="0" fillId="3" borderId="6" xfId="1" applyFont="1" applyFill="1" applyBorder="1"/>
    <xf numFmtId="0" fontId="5" fillId="4" borderId="1" xfId="0" applyFont="1" applyFill="1" applyBorder="1" applyAlignment="1">
      <alignment horizontal="center"/>
    </xf>
    <xf numFmtId="43" fontId="5" fillId="4" borderId="1" xfId="1" applyFont="1" applyFill="1" applyBorder="1" applyAlignment="1">
      <alignment horizontal="center"/>
    </xf>
    <xf numFmtId="43" fontId="0" fillId="0" borderId="6" xfId="1" applyFont="1" applyFill="1" applyBorder="1"/>
    <xf numFmtId="43" fontId="0" fillId="0" borderId="7" xfId="1" applyFont="1" applyFill="1" applyBorder="1"/>
    <xf numFmtId="43" fontId="4" fillId="4" borderId="11" xfId="1" applyFont="1" applyFill="1" applyBorder="1"/>
    <xf numFmtId="44" fontId="4" fillId="3" borderId="4" xfId="2" applyFont="1" applyFill="1" applyBorder="1"/>
    <xf numFmtId="44" fontId="4" fillId="3" borderId="7" xfId="2" applyFont="1" applyFill="1" applyBorder="1"/>
    <xf numFmtId="43" fontId="0" fillId="0" borderId="0" xfId="0" applyNumberFormat="1"/>
    <xf numFmtId="44" fontId="4" fillId="0" borderId="0" xfId="2" applyFont="1"/>
    <xf numFmtId="0" fontId="0" fillId="0" borderId="12" xfId="0" applyBorder="1"/>
    <xf numFmtId="0" fontId="0" fillId="0" borderId="13" xfId="0" applyBorder="1" applyAlignment="1">
      <alignment horizontal="center"/>
    </xf>
    <xf numFmtId="43" fontId="0" fillId="0" borderId="13" xfId="1" applyFont="1" applyBorder="1"/>
    <xf numFmtId="43" fontId="0" fillId="2" borderId="13" xfId="1" applyFont="1" applyFill="1" applyBorder="1"/>
    <xf numFmtId="43" fontId="0" fillId="0" borderId="14" xfId="1" applyFont="1" applyBorder="1"/>
    <xf numFmtId="43" fontId="0" fillId="3" borderId="0" xfId="1" applyFont="1" applyFill="1" applyBorder="1"/>
    <xf numFmtId="0" fontId="4" fillId="3" borderId="8" xfId="0" applyFont="1" applyFill="1" applyBorder="1"/>
    <xf numFmtId="0" fontId="0" fillId="3" borderId="9" xfId="0" applyFill="1" applyBorder="1" applyAlignment="1">
      <alignment horizontal="center"/>
    </xf>
    <xf numFmtId="43" fontId="0" fillId="3" borderId="9" xfId="1" applyFont="1" applyFill="1" applyBorder="1"/>
    <xf numFmtId="44" fontId="4" fillId="3" borderId="10" xfId="2" applyFont="1" applyFill="1" applyBorder="1"/>
    <xf numFmtId="0" fontId="10" fillId="0" borderId="0" xfId="0" applyFont="1" applyAlignment="1">
      <alignment vertical="center"/>
    </xf>
    <xf numFmtId="0" fontId="9" fillId="6" borderId="16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right" vertical="center" wrapText="1"/>
    </xf>
    <xf numFmtId="0" fontId="12" fillId="0" borderId="16" xfId="0" applyFont="1" applyFill="1" applyBorder="1" applyAlignment="1">
      <alignment vertical="center"/>
    </xf>
    <xf numFmtId="0" fontId="11" fillId="5" borderId="16" xfId="0" applyFont="1" applyFill="1" applyBorder="1" applyAlignment="1">
      <alignment horizontal="right" vertical="center" wrapText="1"/>
    </xf>
    <xf numFmtId="0" fontId="11" fillId="5" borderId="16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8" borderId="17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vertical="center"/>
    </xf>
    <xf numFmtId="0" fontId="19" fillId="5" borderId="1" xfId="0" applyFont="1" applyFill="1" applyBorder="1" applyAlignment="1">
      <alignment horizontal="right" vertical="center" wrapText="1"/>
    </xf>
    <xf numFmtId="0" fontId="19" fillId="5" borderId="18" xfId="0" applyFont="1" applyFill="1" applyBorder="1" applyAlignment="1">
      <alignment vertical="center"/>
    </xf>
    <xf numFmtId="43" fontId="19" fillId="5" borderId="16" xfId="1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right" vertical="center" wrapText="1"/>
    </xf>
    <xf numFmtId="43" fontId="19" fillId="8" borderId="17" xfId="1" applyFont="1" applyFill="1" applyBorder="1" applyAlignment="1">
      <alignment horizontal="right" vertical="center" wrapText="1"/>
    </xf>
    <xf numFmtId="0" fontId="19" fillId="5" borderId="21" xfId="0" applyFont="1" applyFill="1" applyBorder="1" applyAlignment="1">
      <alignment vertical="center"/>
    </xf>
    <xf numFmtId="9" fontId="19" fillId="5" borderId="22" xfId="3" applyFont="1" applyFill="1" applyBorder="1" applyAlignment="1">
      <alignment horizontal="left" vertical="center"/>
    </xf>
    <xf numFmtId="0" fontId="20" fillId="0" borderId="21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19" fillId="8" borderId="24" xfId="0" applyFont="1" applyFill="1" applyBorder="1" applyAlignment="1">
      <alignment vertical="center"/>
    </xf>
    <xf numFmtId="0" fontId="19" fillId="8" borderId="25" xfId="0" applyFont="1" applyFill="1" applyBorder="1" applyAlignment="1">
      <alignment vertical="center"/>
    </xf>
    <xf numFmtId="43" fontId="11" fillId="5" borderId="21" xfId="1" applyFont="1" applyFill="1" applyBorder="1" applyAlignment="1">
      <alignment horizontal="right" vertical="center" wrapText="1"/>
    </xf>
    <xf numFmtId="43" fontId="11" fillId="8" borderId="24" xfId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43" fontId="17" fillId="5" borderId="16" xfId="1" applyFont="1" applyFill="1" applyBorder="1" applyAlignment="1">
      <alignment horizontal="right" vertical="center" wrapText="1"/>
    </xf>
    <xf numFmtId="0" fontId="17" fillId="8" borderId="17" xfId="0" applyFont="1" applyFill="1" applyBorder="1" applyAlignment="1">
      <alignment vertical="center"/>
    </xf>
    <xf numFmtId="0" fontId="12" fillId="9" borderId="0" xfId="0" applyFont="1" applyFill="1" applyAlignment="1">
      <alignment vertical="center"/>
    </xf>
    <xf numFmtId="0" fontId="9" fillId="7" borderId="16" xfId="0" applyFont="1" applyFill="1" applyBorder="1" applyAlignment="1">
      <alignment horizontal="right" vertical="center" wrapText="1"/>
    </xf>
    <xf numFmtId="43" fontId="9" fillId="5" borderId="16" xfId="1" applyFont="1" applyFill="1" applyBorder="1" applyAlignment="1">
      <alignment horizontal="right" vertical="center" wrapText="1"/>
    </xf>
    <xf numFmtId="0" fontId="9" fillId="8" borderId="17" xfId="0" applyFont="1" applyFill="1" applyBorder="1" applyAlignment="1">
      <alignment vertical="center"/>
    </xf>
    <xf numFmtId="43" fontId="10" fillId="0" borderId="0" xfId="1" applyFont="1" applyAlignment="1">
      <alignment vertical="center"/>
    </xf>
    <xf numFmtId="10" fontId="11" fillId="5" borderId="16" xfId="3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8" fillId="9" borderId="20" xfId="0" applyFont="1" applyFill="1" applyBorder="1" applyAlignment="1">
      <alignment horizontal="right" vertical="center"/>
    </xf>
    <xf numFmtId="0" fontId="19" fillId="5" borderId="20" xfId="0" applyFont="1" applyFill="1" applyBorder="1" applyAlignment="1">
      <alignment horizontal="right" vertical="center"/>
    </xf>
    <xf numFmtId="0" fontId="15" fillId="9" borderId="0" xfId="0" applyFont="1" applyFill="1" applyAlignment="1">
      <alignment horizontal="center" vertical="center" wrapText="1"/>
    </xf>
    <xf numFmtId="43" fontId="19" fillId="5" borderId="1" xfId="1" applyFont="1" applyFill="1" applyBorder="1" applyAlignment="1">
      <alignment vertical="center"/>
    </xf>
    <xf numFmtId="43" fontId="14" fillId="0" borderId="0" xfId="1" applyFont="1" applyAlignment="1">
      <alignment vertical="center"/>
    </xf>
    <xf numFmtId="43" fontId="18" fillId="0" borderId="1" xfId="1" applyFont="1" applyBorder="1" applyAlignment="1">
      <alignment vertical="center"/>
    </xf>
    <xf numFmtId="43" fontId="20" fillId="0" borderId="16" xfId="1" applyFont="1" applyFill="1" applyBorder="1" applyAlignment="1">
      <alignment vertical="center"/>
    </xf>
    <xf numFmtId="43" fontId="14" fillId="9" borderId="0" xfId="1" applyFont="1" applyFill="1" applyAlignment="1">
      <alignment vertical="center"/>
    </xf>
    <xf numFmtId="43" fontId="9" fillId="0" borderId="1" xfId="1" applyFont="1" applyFill="1" applyBorder="1" applyAlignment="1">
      <alignment horizontal="center" vertical="center" wrapText="1"/>
    </xf>
    <xf numFmtId="43" fontId="11" fillId="5" borderId="16" xfId="1" applyFont="1" applyFill="1" applyBorder="1" applyAlignment="1">
      <alignment vertical="center"/>
    </xf>
    <xf numFmtId="43" fontId="9" fillId="6" borderId="16" xfId="1" applyFont="1" applyFill="1" applyBorder="1" applyAlignment="1">
      <alignment vertical="center"/>
    </xf>
    <xf numFmtId="43" fontId="12" fillId="0" borderId="16" xfId="1" applyFont="1" applyFill="1" applyBorder="1" applyAlignment="1">
      <alignment vertical="center"/>
    </xf>
    <xf numFmtId="43" fontId="9" fillId="7" borderId="16" xfId="1" applyFont="1" applyFill="1" applyBorder="1" applyAlignment="1">
      <alignment vertical="center"/>
    </xf>
    <xf numFmtId="43" fontId="12" fillId="0" borderId="21" xfId="1" applyFont="1" applyFill="1" applyBorder="1" applyAlignment="1">
      <alignment vertical="center"/>
    </xf>
    <xf numFmtId="43" fontId="14" fillId="0" borderId="0" xfId="1" applyFont="1" applyBorder="1" applyAlignment="1">
      <alignment vertical="center"/>
    </xf>
    <xf numFmtId="43" fontId="12" fillId="0" borderId="0" xfId="1" applyFont="1" applyAlignment="1">
      <alignment vertical="center"/>
    </xf>
    <xf numFmtId="43" fontId="20" fillId="9" borderId="19" xfId="1" applyFont="1" applyFill="1" applyBorder="1" applyAlignment="1">
      <alignment vertical="center"/>
    </xf>
    <xf numFmtId="43" fontId="20" fillId="5" borderId="19" xfId="1" applyFont="1" applyFill="1" applyBorder="1" applyAlignment="1">
      <alignment vertical="center"/>
    </xf>
    <xf numFmtId="43" fontId="20" fillId="0" borderId="22" xfId="1" applyFont="1" applyFill="1" applyBorder="1" applyAlignment="1">
      <alignment vertical="center"/>
    </xf>
    <xf numFmtId="43" fontId="20" fillId="0" borderId="23" xfId="1" applyFont="1" applyFill="1" applyBorder="1" applyAlignment="1">
      <alignment vertical="center"/>
    </xf>
    <xf numFmtId="43" fontId="19" fillId="5" borderId="22" xfId="1" applyFont="1" applyFill="1" applyBorder="1" applyAlignment="1">
      <alignment vertical="center"/>
    </xf>
    <xf numFmtId="43" fontId="17" fillId="5" borderId="23" xfId="1" applyFont="1" applyFill="1" applyBorder="1" applyAlignment="1">
      <alignment vertical="center"/>
    </xf>
    <xf numFmtId="43" fontId="19" fillId="8" borderId="25" xfId="1" applyFont="1" applyFill="1" applyBorder="1" applyAlignment="1">
      <alignment vertical="center"/>
    </xf>
    <xf numFmtId="43" fontId="17" fillId="8" borderId="26" xfId="1" applyFont="1" applyFill="1" applyBorder="1" applyAlignment="1">
      <alignment vertical="center"/>
    </xf>
    <xf numFmtId="43" fontId="12" fillId="9" borderId="0" xfId="1" applyFont="1" applyFill="1" applyAlignment="1">
      <alignment vertical="center"/>
    </xf>
    <xf numFmtId="43" fontId="9" fillId="9" borderId="15" xfId="1" applyFont="1" applyFill="1" applyBorder="1" applyAlignment="1">
      <alignment horizontal="center" vertical="center"/>
    </xf>
    <xf numFmtId="43" fontId="9" fillId="5" borderId="16" xfId="1" applyFont="1" applyFill="1" applyBorder="1" applyAlignment="1">
      <alignment vertical="center"/>
    </xf>
    <xf numFmtId="43" fontId="12" fillId="9" borderId="16" xfId="1" applyFont="1" applyFill="1" applyBorder="1" applyAlignment="1">
      <alignment vertical="center"/>
    </xf>
    <xf numFmtId="43" fontId="16" fillId="7" borderId="16" xfId="1" applyFont="1" applyFill="1" applyBorder="1" applyAlignment="1">
      <alignment vertical="center"/>
    </xf>
    <xf numFmtId="43" fontId="11" fillId="8" borderId="17" xfId="1" applyFont="1" applyFill="1" applyBorder="1" applyAlignment="1">
      <alignment vertical="center"/>
    </xf>
    <xf numFmtId="43" fontId="9" fillId="8" borderId="17" xfId="1" applyFont="1" applyFill="1" applyBorder="1" applyAlignment="1">
      <alignment vertical="center"/>
    </xf>
    <xf numFmtId="43" fontId="14" fillId="0" borderId="0" xfId="1" applyFont="1" applyFill="1" applyAlignment="1">
      <alignment vertical="center"/>
    </xf>
    <xf numFmtId="43" fontId="21" fillId="0" borderId="0" xfId="1" applyFont="1" applyFill="1" applyBorder="1" applyAlignment="1">
      <alignment vertical="center"/>
    </xf>
    <xf numFmtId="43" fontId="12" fillId="0" borderId="0" xfId="1" applyFont="1" applyBorder="1" applyAlignment="1">
      <alignment vertical="center"/>
    </xf>
    <xf numFmtId="43" fontId="12" fillId="0" borderId="0" xfId="1" applyFont="1" applyFill="1" applyBorder="1" applyAlignment="1">
      <alignment vertical="center"/>
    </xf>
  </cellXfs>
  <cellStyles count="11">
    <cellStyle name="Moeda" xfId="2" builtinId="4"/>
    <cellStyle name="Normal" xfId="0" builtinId="0"/>
    <cellStyle name="Normal 2" xfId="9"/>
    <cellStyle name="Normal 2 2 2" xfId="4"/>
    <cellStyle name="Normal 3" xfId="10"/>
    <cellStyle name="Porcentagem" xfId="3" builtinId="5"/>
    <cellStyle name="Porcentagem 2" xfId="7"/>
    <cellStyle name="Porcentagem 2 2" xfId="6"/>
    <cellStyle name="Porcentagem 2 2 2" xfId="8"/>
    <cellStyle name="Separador de milhares 2 2" xfId="5"/>
    <cellStyle name="Vírgula" xfId="1" builtinId="3"/>
  </cellStyles>
  <dxfs count="0"/>
  <tableStyles count="0" defaultTableStyle="TableStyleMedium9" defaultPivotStyle="PivotStyleLight16"/>
  <colors>
    <mruColors>
      <color rgb="FFF9D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21"/>
  <sheetViews>
    <sheetView topLeftCell="A99" workbookViewId="0">
      <selection activeCell="K42" sqref="K42"/>
    </sheetView>
  </sheetViews>
  <sheetFormatPr defaultRowHeight="15" x14ac:dyDescent="0.25"/>
  <cols>
    <col min="2" max="2" width="63" customWidth="1"/>
    <col min="3" max="3" width="9" style="3" customWidth="1"/>
    <col min="4" max="5" width="14.28515625" style="2" bestFit="1" customWidth="1"/>
    <col min="6" max="6" width="20.140625" style="2" customWidth="1"/>
    <col min="7" max="7" width="2.5703125" customWidth="1"/>
    <col min="8" max="8" width="9.5703125" bestFit="1" customWidth="1"/>
    <col min="10" max="10" width="9.5703125" bestFit="1" customWidth="1"/>
    <col min="11" max="11" width="11.5703125" bestFit="1" customWidth="1"/>
  </cols>
  <sheetData>
    <row r="2" spans="2:6" x14ac:dyDescent="0.25">
      <c r="B2" s="1" t="s">
        <v>75</v>
      </c>
    </row>
    <row r="4" spans="2:6" ht="15.75" x14ac:dyDescent="0.25">
      <c r="B4" s="25" t="s">
        <v>63</v>
      </c>
      <c r="C4" s="25" t="s">
        <v>59</v>
      </c>
      <c r="D4" s="26" t="s">
        <v>60</v>
      </c>
      <c r="E4" s="26" t="s">
        <v>61</v>
      </c>
      <c r="F4" s="26" t="s">
        <v>62</v>
      </c>
    </row>
    <row r="5" spans="2:6" ht="5.25" customHeight="1" x14ac:dyDescent="0.25"/>
    <row r="6" spans="2:6" x14ac:dyDescent="0.25">
      <c r="B6" s="19" t="s">
        <v>67</v>
      </c>
      <c r="C6" s="20"/>
      <c r="D6" s="21"/>
      <c r="E6" s="21"/>
      <c r="F6" s="30">
        <f>SUM(F12:F20)</f>
        <v>154918400</v>
      </c>
    </row>
    <row r="7" spans="2:6" x14ac:dyDescent="0.25">
      <c r="B7" s="5"/>
      <c r="C7" s="6"/>
      <c r="D7" s="7"/>
      <c r="E7" s="7"/>
      <c r="F7" s="8"/>
    </row>
    <row r="8" spans="2:6" x14ac:dyDescent="0.25">
      <c r="B8" s="9" t="s">
        <v>0</v>
      </c>
      <c r="C8" s="6"/>
      <c r="D8" s="7"/>
      <c r="E8" s="7"/>
      <c r="F8" s="8"/>
    </row>
    <row r="9" spans="2:6" x14ac:dyDescent="0.25">
      <c r="B9" s="9"/>
      <c r="C9" s="6"/>
      <c r="D9" s="7"/>
      <c r="E9" s="7"/>
      <c r="F9" s="8"/>
    </row>
    <row r="10" spans="2:6" x14ac:dyDescent="0.25">
      <c r="B10" s="9"/>
      <c r="C10" s="6"/>
      <c r="D10" s="7"/>
      <c r="E10" s="7"/>
      <c r="F10" s="8"/>
    </row>
    <row r="11" spans="2:6" x14ac:dyDescent="0.25">
      <c r="B11" s="5" t="s">
        <v>2</v>
      </c>
      <c r="C11" s="6"/>
      <c r="D11" s="7"/>
      <c r="E11" s="7"/>
      <c r="F11" s="8"/>
    </row>
    <row r="12" spans="2:6" x14ac:dyDescent="0.25">
      <c r="B12" s="9" t="s">
        <v>21</v>
      </c>
      <c r="C12" s="6" t="s">
        <v>18</v>
      </c>
      <c r="D12" s="7">
        <f>144.5*(67*20)</f>
        <v>193630</v>
      </c>
      <c r="E12" s="10">
        <f>48/1.2</f>
        <v>40</v>
      </c>
      <c r="F12" s="8">
        <f>D12*E12</f>
        <v>7745200</v>
      </c>
    </row>
    <row r="13" spans="2:6" x14ac:dyDescent="0.25">
      <c r="B13" s="5" t="s">
        <v>1</v>
      </c>
      <c r="C13" s="6"/>
      <c r="D13" s="7"/>
      <c r="E13" s="7"/>
      <c r="F13" s="8"/>
    </row>
    <row r="14" spans="2:6" x14ac:dyDescent="0.25">
      <c r="B14" s="9" t="s">
        <v>19</v>
      </c>
      <c r="C14" s="6" t="s">
        <v>18</v>
      </c>
      <c r="D14" s="7">
        <f>1116.8*70*20</f>
        <v>1563520</v>
      </c>
      <c r="E14" s="7">
        <f>E12</f>
        <v>40</v>
      </c>
      <c r="F14" s="8">
        <f t="shared" ref="F14:F20" si="0">D14*E14</f>
        <v>62540800</v>
      </c>
    </row>
    <row r="15" spans="2:6" x14ac:dyDescent="0.25">
      <c r="B15" s="5" t="s">
        <v>3</v>
      </c>
      <c r="C15" s="6"/>
      <c r="D15" s="7"/>
      <c r="E15" s="7"/>
      <c r="F15" s="8"/>
    </row>
    <row r="16" spans="2:6" x14ac:dyDescent="0.25">
      <c r="B16" s="9" t="s">
        <v>20</v>
      </c>
      <c r="C16" s="6" t="s">
        <v>18</v>
      </c>
      <c r="D16" s="7">
        <f>308.8*35*20</f>
        <v>216160</v>
      </c>
      <c r="E16" s="7">
        <f>E12</f>
        <v>40</v>
      </c>
      <c r="F16" s="8">
        <f t="shared" si="0"/>
        <v>8646400</v>
      </c>
    </row>
    <row r="17" spans="2:13" x14ac:dyDescent="0.25">
      <c r="B17" s="5" t="s">
        <v>4</v>
      </c>
      <c r="C17" s="6"/>
      <c r="D17" s="7"/>
      <c r="E17" s="7"/>
      <c r="F17" s="8"/>
    </row>
    <row r="18" spans="2:13" x14ac:dyDescent="0.25">
      <c r="B18" s="9" t="s">
        <v>23</v>
      </c>
      <c r="C18" s="6" t="s">
        <v>18</v>
      </c>
      <c r="D18" s="7">
        <f>1222*62*20</f>
        <v>1515280</v>
      </c>
      <c r="E18" s="7">
        <f>E12</f>
        <v>40</v>
      </c>
      <c r="F18" s="8">
        <f t="shared" si="0"/>
        <v>60611200</v>
      </c>
    </row>
    <row r="19" spans="2:13" x14ac:dyDescent="0.25">
      <c r="B19" s="5" t="s">
        <v>7</v>
      </c>
      <c r="C19" s="6"/>
      <c r="D19" s="7"/>
      <c r="E19" s="7"/>
      <c r="F19" s="8"/>
    </row>
    <row r="20" spans="2:13" x14ac:dyDescent="0.25">
      <c r="B20" s="9" t="s">
        <v>24</v>
      </c>
      <c r="C20" s="6" t="s">
        <v>18</v>
      </c>
      <c r="D20" s="7">
        <f>144.5*133*20</f>
        <v>384370</v>
      </c>
      <c r="E20" s="7">
        <f>E12</f>
        <v>40</v>
      </c>
      <c r="F20" s="8">
        <f t="shared" si="0"/>
        <v>15374800</v>
      </c>
      <c r="I20" s="32"/>
    </row>
    <row r="21" spans="2:13" x14ac:dyDescent="0.25">
      <c r="B21" s="9"/>
      <c r="C21" s="6"/>
      <c r="D21" s="7"/>
      <c r="E21" s="7"/>
      <c r="F21" s="8"/>
    </row>
    <row r="22" spans="2:13" x14ac:dyDescent="0.25">
      <c r="B22" s="22" t="s">
        <v>68</v>
      </c>
      <c r="C22" s="23"/>
      <c r="D22" s="24"/>
      <c r="E22" s="24"/>
      <c r="F22" s="31">
        <f>SUM(F23:F25)</f>
        <v>31396276.833523195</v>
      </c>
    </row>
    <row r="23" spans="2:13" x14ac:dyDescent="0.25">
      <c r="B23" s="5" t="s">
        <v>5</v>
      </c>
      <c r="C23" s="6" t="s">
        <v>22</v>
      </c>
      <c r="D23" s="7">
        <v>1200</v>
      </c>
      <c r="E23" s="10">
        <f>6329976.2/1250*1.5</f>
        <v>7595.9714399999993</v>
      </c>
      <c r="F23" s="8">
        <f>E23*D23</f>
        <v>9115165.7280000001</v>
      </c>
    </row>
    <row r="24" spans="2:13" x14ac:dyDescent="0.25">
      <c r="B24" s="5" t="s">
        <v>6</v>
      </c>
      <c r="C24" s="6" t="s">
        <v>22</v>
      </c>
      <c r="D24" s="7">
        <v>1116.08</v>
      </c>
      <c r="E24" s="7">
        <f>E23</f>
        <v>7595.9714399999993</v>
      </c>
      <c r="F24" s="8">
        <f>E24*D24</f>
        <v>8477711.8047551978</v>
      </c>
    </row>
    <row r="25" spans="2:13" x14ac:dyDescent="0.25">
      <c r="B25" s="5" t="s">
        <v>25</v>
      </c>
      <c r="C25" s="6" t="s">
        <v>22</v>
      </c>
      <c r="D25" s="7">
        <v>1817.2</v>
      </c>
      <c r="E25" s="7">
        <f>E24</f>
        <v>7595.9714399999993</v>
      </c>
      <c r="F25" s="8">
        <f>E25*D25</f>
        <v>13803399.300767999</v>
      </c>
    </row>
    <row r="26" spans="2:13" x14ac:dyDescent="0.25">
      <c r="B26" s="5"/>
      <c r="C26" s="6"/>
      <c r="D26" s="7"/>
      <c r="E26" s="7"/>
      <c r="F26" s="8"/>
    </row>
    <row r="27" spans="2:13" x14ac:dyDescent="0.25">
      <c r="B27" s="22" t="s">
        <v>35</v>
      </c>
      <c r="C27" s="23"/>
      <c r="D27" s="24"/>
      <c r="E27" s="24"/>
      <c r="F27" s="31">
        <f>SUM(F29:F74)</f>
        <v>186305993.99200004</v>
      </c>
    </row>
    <row r="28" spans="2:13" x14ac:dyDescent="0.25">
      <c r="B28" s="9" t="s">
        <v>8</v>
      </c>
      <c r="C28" s="6"/>
      <c r="D28" s="7"/>
      <c r="E28" s="7"/>
      <c r="F28" s="8"/>
    </row>
    <row r="29" spans="2:13" x14ac:dyDescent="0.25">
      <c r="B29" s="5" t="s">
        <v>32</v>
      </c>
      <c r="C29" s="11" t="s">
        <v>18</v>
      </c>
      <c r="D29" s="7">
        <f>16472.77*2</f>
        <v>32945.54</v>
      </c>
      <c r="E29" s="10">
        <f>42*2</f>
        <v>84</v>
      </c>
      <c r="F29" s="28">
        <f t="shared" ref="F29:F34" si="1">E29*D29</f>
        <v>2767425.36</v>
      </c>
    </row>
    <row r="30" spans="2:13" x14ac:dyDescent="0.25">
      <c r="B30" s="5" t="s">
        <v>33</v>
      </c>
      <c r="C30" s="11" t="s">
        <v>18</v>
      </c>
      <c r="D30" s="7">
        <v>12345.6</v>
      </c>
      <c r="E30" s="10">
        <v>2500</v>
      </c>
      <c r="F30" s="28">
        <f t="shared" si="1"/>
        <v>30864000</v>
      </c>
      <c r="M30" t="s">
        <v>65</v>
      </c>
    </row>
    <row r="31" spans="2:13" x14ac:dyDescent="0.25">
      <c r="B31" s="5" t="s">
        <v>58</v>
      </c>
      <c r="C31" s="11" t="s">
        <v>18</v>
      </c>
      <c r="D31" s="7">
        <f>3137.92+6489.54+14910.5+10145.39</f>
        <v>34683.35</v>
      </c>
      <c r="E31" s="10">
        <v>400</v>
      </c>
      <c r="F31" s="28">
        <f t="shared" si="1"/>
        <v>13873340</v>
      </c>
    </row>
    <row r="32" spans="2:13" x14ac:dyDescent="0.25">
      <c r="B32" s="5" t="s">
        <v>64</v>
      </c>
      <c r="C32" s="11" t="s">
        <v>18</v>
      </c>
      <c r="D32" s="7">
        <f>(4789.2+2023.37)*0.5</f>
        <v>3406.2849999999999</v>
      </c>
      <c r="E32" s="10">
        <v>120</v>
      </c>
      <c r="F32" s="28">
        <f t="shared" si="1"/>
        <v>408754.19999999995</v>
      </c>
    </row>
    <row r="33" spans="2:11" x14ac:dyDescent="0.25">
      <c r="B33" s="5" t="s">
        <v>34</v>
      </c>
      <c r="C33" s="11" t="s">
        <v>18</v>
      </c>
      <c r="D33" s="7">
        <f>26250+10440</f>
        <v>36690</v>
      </c>
      <c r="E33" s="10">
        <f>(48.1+20)*2</f>
        <v>136.19999999999999</v>
      </c>
      <c r="F33" s="28">
        <f t="shared" si="1"/>
        <v>4997178</v>
      </c>
    </row>
    <row r="34" spans="2:11" x14ac:dyDescent="0.25">
      <c r="B34" s="5" t="s">
        <v>57</v>
      </c>
      <c r="C34" s="11" t="s">
        <v>18</v>
      </c>
      <c r="D34" s="7">
        <f>13301.25+((8*1.5*40)+(8*1.8*60)+(8*3.23*40))</f>
        <v>15678.85</v>
      </c>
      <c r="E34" s="10">
        <v>400</v>
      </c>
      <c r="F34" s="28">
        <f t="shared" si="1"/>
        <v>6271540</v>
      </c>
    </row>
    <row r="35" spans="2:11" x14ac:dyDescent="0.25">
      <c r="B35" s="5"/>
      <c r="C35" s="6"/>
      <c r="D35" s="7"/>
      <c r="E35" s="7"/>
      <c r="F35" s="28"/>
    </row>
    <row r="36" spans="2:11" x14ac:dyDescent="0.25">
      <c r="B36" s="9" t="s">
        <v>9</v>
      </c>
      <c r="C36" s="6"/>
      <c r="D36" s="7"/>
      <c r="E36" s="7"/>
      <c r="F36" s="28"/>
    </row>
    <row r="37" spans="2:11" x14ac:dyDescent="0.25">
      <c r="B37" s="5" t="s">
        <v>32</v>
      </c>
      <c r="C37" s="11" t="s">
        <v>18</v>
      </c>
      <c r="D37" s="7">
        <f t="shared" ref="D37:D42" si="2">D53</f>
        <v>12400</v>
      </c>
      <c r="E37" s="10">
        <f>E29*2</f>
        <v>168</v>
      </c>
      <c r="F37" s="28">
        <f t="shared" ref="F37:F42" si="3">E37*D37</f>
        <v>2083200</v>
      </c>
    </row>
    <row r="38" spans="2:11" x14ac:dyDescent="0.25">
      <c r="B38" s="5" t="s">
        <v>33</v>
      </c>
      <c r="C38" s="11" t="s">
        <v>18</v>
      </c>
      <c r="D38" s="7">
        <f t="shared" si="2"/>
        <v>0</v>
      </c>
      <c r="E38" s="10">
        <f>E30</f>
        <v>2500</v>
      </c>
      <c r="F38" s="28">
        <f t="shared" si="3"/>
        <v>0</v>
      </c>
    </row>
    <row r="39" spans="2:11" x14ac:dyDescent="0.25">
      <c r="B39" s="5" t="s">
        <v>58</v>
      </c>
      <c r="C39" s="11" t="s">
        <v>18</v>
      </c>
      <c r="D39" s="7">
        <f t="shared" si="2"/>
        <v>11996.41</v>
      </c>
      <c r="E39" s="10">
        <f>E31</f>
        <v>400</v>
      </c>
      <c r="F39" s="28">
        <f t="shared" si="3"/>
        <v>4798564</v>
      </c>
    </row>
    <row r="40" spans="2:11" x14ac:dyDescent="0.25">
      <c r="B40" s="5" t="s">
        <v>64</v>
      </c>
      <c r="C40" s="11" t="s">
        <v>18</v>
      </c>
      <c r="D40" s="7">
        <f t="shared" si="2"/>
        <v>1908.95</v>
      </c>
      <c r="E40" s="10">
        <f>E32</f>
        <v>120</v>
      </c>
      <c r="F40" s="28">
        <f t="shared" si="3"/>
        <v>229074</v>
      </c>
    </row>
    <row r="41" spans="2:11" x14ac:dyDescent="0.25">
      <c r="B41" s="5" t="s">
        <v>34</v>
      </c>
      <c r="C41" s="11" t="s">
        <v>18</v>
      </c>
      <c r="D41" s="7">
        <f t="shared" si="2"/>
        <v>16534.759999999998</v>
      </c>
      <c r="E41" s="10">
        <f>E33</f>
        <v>136.19999999999999</v>
      </c>
      <c r="F41" s="28">
        <f t="shared" si="3"/>
        <v>2252034.3119999995</v>
      </c>
      <c r="K41" s="32">
        <f>D33+D41+D49+D57+D65+D73</f>
        <v>168603.76</v>
      </c>
    </row>
    <row r="42" spans="2:11" x14ac:dyDescent="0.25">
      <c r="B42" s="5" t="s">
        <v>57</v>
      </c>
      <c r="C42" s="11" t="s">
        <v>18</v>
      </c>
      <c r="D42" s="7">
        <f t="shared" si="2"/>
        <v>10347.299999999999</v>
      </c>
      <c r="E42" s="10">
        <f>E34</f>
        <v>400</v>
      </c>
      <c r="F42" s="28">
        <f t="shared" si="3"/>
        <v>4138919.9999999995</v>
      </c>
    </row>
    <row r="43" spans="2:11" x14ac:dyDescent="0.25">
      <c r="B43" s="5"/>
      <c r="C43" s="6"/>
      <c r="D43" s="7"/>
      <c r="E43" s="7"/>
      <c r="F43" s="28"/>
    </row>
    <row r="44" spans="2:11" x14ac:dyDescent="0.25">
      <c r="B44" s="9" t="s">
        <v>10</v>
      </c>
      <c r="C44" s="6"/>
      <c r="D44" s="7"/>
      <c r="E44" s="7"/>
      <c r="F44" s="28"/>
    </row>
    <row r="45" spans="2:11" x14ac:dyDescent="0.25">
      <c r="B45" s="5" t="s">
        <v>32</v>
      </c>
      <c r="C45" s="11" t="s">
        <v>18</v>
      </c>
      <c r="D45" s="7">
        <f>24645.02*2</f>
        <v>49290.04</v>
      </c>
      <c r="E45" s="10">
        <f t="shared" ref="E45:E50" si="4">E29</f>
        <v>84</v>
      </c>
      <c r="F45" s="28">
        <f t="shared" ref="F45:F50" si="5">E45*D45</f>
        <v>4140363.36</v>
      </c>
    </row>
    <row r="46" spans="2:11" x14ac:dyDescent="0.25">
      <c r="B46" s="5" t="s">
        <v>33</v>
      </c>
      <c r="C46" s="11" t="s">
        <v>18</v>
      </c>
      <c r="D46" s="7">
        <f>3665.31*2</f>
        <v>7330.62</v>
      </c>
      <c r="E46" s="10">
        <f t="shared" si="4"/>
        <v>2500</v>
      </c>
      <c r="F46" s="28">
        <f t="shared" si="5"/>
        <v>18326550</v>
      </c>
    </row>
    <row r="47" spans="2:11" x14ac:dyDescent="0.25">
      <c r="B47" s="5" t="s">
        <v>58</v>
      </c>
      <c r="C47" s="11" t="s">
        <v>18</v>
      </c>
      <c r="D47" s="7">
        <f>(3944.04+1529.6+4118.37+1758.72+5847.52+3157.06+2664.09)*2-D66</f>
        <v>33109.4</v>
      </c>
      <c r="E47" s="10">
        <f t="shared" si="4"/>
        <v>400</v>
      </c>
      <c r="F47" s="28">
        <f t="shared" si="5"/>
        <v>13243760</v>
      </c>
    </row>
    <row r="48" spans="2:11" x14ac:dyDescent="0.25">
      <c r="B48" s="5" t="s">
        <v>64</v>
      </c>
      <c r="C48" s="11" t="s">
        <v>18</v>
      </c>
      <c r="D48" s="7">
        <f>3741.34*0.5*2</f>
        <v>3741.34</v>
      </c>
      <c r="E48" s="10">
        <f t="shared" si="4"/>
        <v>120</v>
      </c>
      <c r="F48" s="28">
        <f t="shared" si="5"/>
        <v>448960.80000000005</v>
      </c>
    </row>
    <row r="49" spans="2:6" x14ac:dyDescent="0.25">
      <c r="B49" s="5" t="s">
        <v>34</v>
      </c>
      <c r="C49" s="11" t="s">
        <v>18</v>
      </c>
      <c r="D49" s="7">
        <f>(3741.34*1.1*2)*5</f>
        <v>41154.740000000005</v>
      </c>
      <c r="E49" s="10">
        <f t="shared" si="4"/>
        <v>136.19999999999999</v>
      </c>
      <c r="F49" s="28">
        <f t="shared" si="5"/>
        <v>5605275.5880000005</v>
      </c>
    </row>
    <row r="50" spans="2:6" x14ac:dyDescent="0.25">
      <c r="B50" s="5" t="s">
        <v>57</v>
      </c>
      <c r="C50" s="11" t="s">
        <v>18</v>
      </c>
      <c r="D50" s="7">
        <f>D66</f>
        <v>12929.4</v>
      </c>
      <c r="E50" s="10">
        <f t="shared" si="4"/>
        <v>400</v>
      </c>
      <c r="F50" s="28">
        <f t="shared" si="5"/>
        <v>5171760</v>
      </c>
    </row>
    <row r="51" spans="2:6" x14ac:dyDescent="0.25">
      <c r="B51" s="5"/>
      <c r="C51" s="6"/>
      <c r="D51" s="7"/>
      <c r="E51" s="7"/>
      <c r="F51" s="28"/>
    </row>
    <row r="52" spans="2:6" x14ac:dyDescent="0.25">
      <c r="B52" s="9" t="s">
        <v>11</v>
      </c>
      <c r="C52" s="6"/>
      <c r="D52" s="7"/>
      <c r="E52" s="7"/>
      <c r="F52" s="28"/>
    </row>
    <row r="53" spans="2:6" x14ac:dyDescent="0.25">
      <c r="B53" s="5" t="s">
        <v>32</v>
      </c>
      <c r="C53" s="11" t="s">
        <v>18</v>
      </c>
      <c r="D53" s="7">
        <f>6200*2</f>
        <v>12400</v>
      </c>
      <c r="E53" s="10">
        <f t="shared" ref="E53:E58" si="6">E45</f>
        <v>84</v>
      </c>
      <c r="F53" s="28">
        <f t="shared" ref="F53:F58" si="7">E53*D53</f>
        <v>1041600</v>
      </c>
    </row>
    <row r="54" spans="2:6" x14ac:dyDescent="0.25">
      <c r="B54" s="5" t="s">
        <v>33</v>
      </c>
      <c r="C54" s="11" t="s">
        <v>18</v>
      </c>
      <c r="D54" s="7">
        <v>0</v>
      </c>
      <c r="E54" s="10">
        <f t="shared" si="6"/>
        <v>2500</v>
      </c>
      <c r="F54" s="28">
        <f t="shared" si="7"/>
        <v>0</v>
      </c>
    </row>
    <row r="55" spans="2:6" x14ac:dyDescent="0.25">
      <c r="B55" s="5" t="s">
        <v>58</v>
      </c>
      <c r="C55" s="11" t="s">
        <v>18</v>
      </c>
      <c r="D55" s="7">
        <f>2455.25+9541.16</f>
        <v>11996.41</v>
      </c>
      <c r="E55" s="10">
        <f t="shared" si="6"/>
        <v>400</v>
      </c>
      <c r="F55" s="28">
        <f t="shared" si="7"/>
        <v>4798564</v>
      </c>
    </row>
    <row r="56" spans="2:6" x14ac:dyDescent="0.25">
      <c r="B56" s="5" t="s">
        <v>64</v>
      </c>
      <c r="C56" s="11" t="s">
        <v>18</v>
      </c>
      <c r="D56" s="7">
        <f>1908.95</f>
        <v>1908.95</v>
      </c>
      <c r="E56" s="10">
        <f t="shared" si="6"/>
        <v>120</v>
      </c>
      <c r="F56" s="28">
        <f t="shared" si="7"/>
        <v>229074</v>
      </c>
    </row>
    <row r="57" spans="2:6" x14ac:dyDescent="0.25">
      <c r="B57" s="5" t="s">
        <v>34</v>
      </c>
      <c r="C57" s="11" t="s">
        <v>18</v>
      </c>
      <c r="D57" s="7">
        <v>16534.759999999998</v>
      </c>
      <c r="E57" s="10">
        <f t="shared" si="6"/>
        <v>136.19999999999999</v>
      </c>
      <c r="F57" s="28">
        <f t="shared" si="7"/>
        <v>2252034.3119999995</v>
      </c>
    </row>
    <row r="58" spans="2:6" x14ac:dyDescent="0.25">
      <c r="B58" s="5" t="s">
        <v>57</v>
      </c>
      <c r="C58" s="11" t="s">
        <v>18</v>
      </c>
      <c r="D58" s="7">
        <v>10347.299999999999</v>
      </c>
      <c r="E58" s="10">
        <f t="shared" si="6"/>
        <v>400</v>
      </c>
      <c r="F58" s="28">
        <f t="shared" si="7"/>
        <v>4138919.9999999995</v>
      </c>
    </row>
    <row r="59" spans="2:6" x14ac:dyDescent="0.25">
      <c r="B59" s="5"/>
      <c r="C59" s="6"/>
      <c r="D59" s="7"/>
      <c r="E59" s="7"/>
      <c r="F59" s="28"/>
    </row>
    <row r="60" spans="2:6" x14ac:dyDescent="0.25">
      <c r="B60" s="9" t="s">
        <v>12</v>
      </c>
      <c r="C60" s="6"/>
      <c r="D60" s="7"/>
      <c r="E60" s="7"/>
      <c r="F60" s="28"/>
    </row>
    <row r="61" spans="2:6" x14ac:dyDescent="0.25">
      <c r="B61" s="5" t="s">
        <v>32</v>
      </c>
      <c r="C61" s="11" t="s">
        <v>18</v>
      </c>
      <c r="D61" s="7">
        <f>D45</f>
        <v>49290.04</v>
      </c>
      <c r="E61" s="10">
        <f>E45</f>
        <v>84</v>
      </c>
      <c r="F61" s="28">
        <f t="shared" ref="F61:F66" si="8">E61*D61</f>
        <v>4140363.36</v>
      </c>
    </row>
    <row r="62" spans="2:6" x14ac:dyDescent="0.25">
      <c r="B62" s="5" t="s">
        <v>33</v>
      </c>
      <c r="C62" s="11" t="s">
        <v>18</v>
      </c>
      <c r="D62" s="7">
        <f>D46</f>
        <v>7330.62</v>
      </c>
      <c r="E62" s="10">
        <f>E46</f>
        <v>2500</v>
      </c>
      <c r="F62" s="28">
        <f t="shared" si="8"/>
        <v>18326550</v>
      </c>
    </row>
    <row r="63" spans="2:6" x14ac:dyDescent="0.25">
      <c r="B63" s="5" t="s">
        <v>58</v>
      </c>
      <c r="C63" s="11" t="s">
        <v>18</v>
      </c>
      <c r="D63" s="7">
        <f>D47-D66</f>
        <v>20180</v>
      </c>
      <c r="E63" s="10">
        <f>E47</f>
        <v>400</v>
      </c>
      <c r="F63" s="28">
        <f t="shared" si="8"/>
        <v>8072000</v>
      </c>
    </row>
    <row r="64" spans="2:6" x14ac:dyDescent="0.25">
      <c r="B64" s="5" t="s">
        <v>64</v>
      </c>
      <c r="C64" s="11" t="s">
        <v>18</v>
      </c>
      <c r="D64" s="7">
        <f>D48</f>
        <v>3741.34</v>
      </c>
      <c r="E64" s="10">
        <f>E48</f>
        <v>120</v>
      </c>
      <c r="F64" s="28">
        <f t="shared" si="8"/>
        <v>448960.80000000005</v>
      </c>
    </row>
    <row r="65" spans="2:6" x14ac:dyDescent="0.25">
      <c r="B65" s="5" t="s">
        <v>34</v>
      </c>
      <c r="C65" s="11" t="s">
        <v>18</v>
      </c>
      <c r="D65" s="7">
        <f>D49</f>
        <v>41154.740000000005</v>
      </c>
      <c r="E65" s="10">
        <f>E49</f>
        <v>136.19999999999999</v>
      </c>
      <c r="F65" s="28">
        <f t="shared" si="8"/>
        <v>5605275.5880000005</v>
      </c>
    </row>
    <row r="66" spans="2:6" x14ac:dyDescent="0.25">
      <c r="B66" s="5" t="s">
        <v>57</v>
      </c>
      <c r="C66" s="11" t="s">
        <v>18</v>
      </c>
      <c r="D66" s="7">
        <f>6464.7*2</f>
        <v>12929.4</v>
      </c>
      <c r="E66" s="10">
        <f>E50</f>
        <v>400</v>
      </c>
      <c r="F66" s="28">
        <f t="shared" si="8"/>
        <v>5171760</v>
      </c>
    </row>
    <row r="67" spans="2:6" x14ac:dyDescent="0.25">
      <c r="B67" s="5"/>
      <c r="C67" s="6"/>
      <c r="D67" s="7"/>
      <c r="E67" s="7"/>
      <c r="F67" s="28"/>
    </row>
    <row r="68" spans="2:6" x14ac:dyDescent="0.25">
      <c r="B68" s="9" t="s">
        <v>13</v>
      </c>
      <c r="C68" s="6"/>
      <c r="D68" s="7"/>
      <c r="E68" s="7"/>
      <c r="F68" s="28"/>
    </row>
    <row r="69" spans="2:6" x14ac:dyDescent="0.25">
      <c r="B69" s="5" t="s">
        <v>32</v>
      </c>
      <c r="C69" s="11" t="s">
        <v>18</v>
      </c>
      <c r="D69" s="7">
        <f>6200*2</f>
        <v>12400</v>
      </c>
      <c r="E69" s="10">
        <f t="shared" ref="E69:E74" si="9">E61</f>
        <v>84</v>
      </c>
      <c r="F69" s="28">
        <f t="shared" ref="F69:F74" si="10">E69*D69</f>
        <v>1041600</v>
      </c>
    </row>
    <row r="70" spans="2:6" x14ac:dyDescent="0.25">
      <c r="B70" s="5" t="s">
        <v>33</v>
      </c>
      <c r="C70" s="11" t="s">
        <v>18</v>
      </c>
      <c r="D70" s="7">
        <v>0</v>
      </c>
      <c r="E70" s="10">
        <f t="shared" si="9"/>
        <v>2500</v>
      </c>
      <c r="F70" s="28">
        <f t="shared" si="10"/>
        <v>0</v>
      </c>
    </row>
    <row r="71" spans="2:6" x14ac:dyDescent="0.25">
      <c r="B71" s="5" t="s">
        <v>58</v>
      </c>
      <c r="C71" s="11" t="s">
        <v>18</v>
      </c>
      <c r="D71" s="7">
        <f>2455.25+9541.16</f>
        <v>11996.41</v>
      </c>
      <c r="E71" s="10">
        <f t="shared" si="9"/>
        <v>400</v>
      </c>
      <c r="F71" s="28">
        <f t="shared" si="10"/>
        <v>4798564</v>
      </c>
    </row>
    <row r="72" spans="2:6" x14ac:dyDescent="0.25">
      <c r="B72" s="5" t="s">
        <v>64</v>
      </c>
      <c r="C72" s="11" t="s">
        <v>18</v>
      </c>
      <c r="D72" s="7">
        <f>1908.95</f>
        <v>1908.95</v>
      </c>
      <c r="E72" s="10">
        <f t="shared" si="9"/>
        <v>120</v>
      </c>
      <c r="F72" s="28">
        <f t="shared" si="10"/>
        <v>229074</v>
      </c>
    </row>
    <row r="73" spans="2:6" x14ac:dyDescent="0.25">
      <c r="B73" s="5" t="s">
        <v>34</v>
      </c>
      <c r="C73" s="11" t="s">
        <v>18</v>
      </c>
      <c r="D73" s="7">
        <v>16534.759999999998</v>
      </c>
      <c r="E73" s="10">
        <f t="shared" si="9"/>
        <v>136.19999999999999</v>
      </c>
      <c r="F73" s="28">
        <f t="shared" si="10"/>
        <v>2252034.3119999995</v>
      </c>
    </row>
    <row r="74" spans="2:6" x14ac:dyDescent="0.25">
      <c r="B74" s="5" t="s">
        <v>57</v>
      </c>
      <c r="C74" s="11" t="s">
        <v>18</v>
      </c>
      <c r="D74" s="7">
        <v>10347.299999999999</v>
      </c>
      <c r="E74" s="10">
        <f t="shared" si="9"/>
        <v>400</v>
      </c>
      <c r="F74" s="28">
        <f t="shared" si="10"/>
        <v>4138919.9999999995</v>
      </c>
    </row>
    <row r="75" spans="2:6" x14ac:dyDescent="0.25">
      <c r="B75" s="5"/>
      <c r="C75" s="6"/>
      <c r="D75" s="7"/>
      <c r="E75" s="7"/>
      <c r="F75" s="8"/>
    </row>
    <row r="76" spans="2:6" x14ac:dyDescent="0.25">
      <c r="B76" s="22" t="s">
        <v>69</v>
      </c>
      <c r="C76" s="23"/>
      <c r="D76" s="24"/>
      <c r="E76" s="39"/>
      <c r="F76" s="31">
        <f>SUM(F77:F78)</f>
        <v>64600000</v>
      </c>
    </row>
    <row r="77" spans="2:6" x14ac:dyDescent="0.25">
      <c r="B77" s="5" t="s">
        <v>70</v>
      </c>
      <c r="C77" s="11" t="s">
        <v>48</v>
      </c>
      <c r="D77" s="7">
        <v>9.5</v>
      </c>
      <c r="E77" s="27">
        <v>2000000</v>
      </c>
      <c r="F77" s="28">
        <f>E77*D77</f>
        <v>19000000</v>
      </c>
    </row>
    <row r="78" spans="2:6" x14ac:dyDescent="0.25">
      <c r="B78" s="5" t="s">
        <v>71</v>
      </c>
      <c r="C78" s="11" t="s">
        <v>46</v>
      </c>
      <c r="D78" s="7">
        <v>1</v>
      </c>
      <c r="E78" s="27">
        <f>24000000/7.5*9.5*1.5</f>
        <v>45600000</v>
      </c>
      <c r="F78" s="28">
        <f>E78*D78</f>
        <v>45600000</v>
      </c>
    </row>
    <row r="79" spans="2:6" x14ac:dyDescent="0.25">
      <c r="B79" s="5"/>
      <c r="C79" s="6"/>
      <c r="D79" s="7"/>
      <c r="E79" s="7"/>
      <c r="F79" s="8"/>
    </row>
    <row r="80" spans="2:6" x14ac:dyDescent="0.25">
      <c r="B80" s="22" t="s">
        <v>36</v>
      </c>
      <c r="C80" s="23"/>
      <c r="D80" s="24"/>
      <c r="E80" s="24"/>
      <c r="F80" s="31">
        <f>SUM(F83:F109)</f>
        <v>179927029.19062501</v>
      </c>
    </row>
    <row r="81" spans="2:10" x14ac:dyDescent="0.25">
      <c r="B81" s="9" t="s">
        <v>14</v>
      </c>
      <c r="C81" s="6"/>
      <c r="D81" s="7"/>
      <c r="E81" s="7"/>
      <c r="F81" s="8"/>
    </row>
    <row r="82" spans="2:10" x14ac:dyDescent="0.25">
      <c r="B82" s="5" t="s">
        <v>39</v>
      </c>
      <c r="C82" s="6"/>
      <c r="D82" s="7"/>
      <c r="E82" s="7"/>
      <c r="F82" s="8"/>
    </row>
    <row r="83" spans="2:10" x14ac:dyDescent="0.25">
      <c r="B83" s="5" t="s">
        <v>32</v>
      </c>
      <c r="C83" s="6" t="s">
        <v>18</v>
      </c>
      <c r="D83" s="7">
        <f>7*3*920</f>
        <v>19320</v>
      </c>
      <c r="E83" s="7">
        <f>E29</f>
        <v>84</v>
      </c>
      <c r="F83" s="8">
        <f>E83*D83</f>
        <v>1622880</v>
      </c>
    </row>
    <row r="84" spans="2:10" x14ac:dyDescent="0.25">
      <c r="B84" s="5" t="s">
        <v>44</v>
      </c>
      <c r="C84" s="6" t="s">
        <v>22</v>
      </c>
      <c r="D84" s="7">
        <v>920</v>
      </c>
      <c r="E84" s="10">
        <f>((3.125+3.125)*1.5)*(3.125*0.15)*1650*1.8</f>
        <v>13051.7578125</v>
      </c>
      <c r="F84" s="8">
        <f>E84*D84</f>
        <v>12007617.1875</v>
      </c>
    </row>
    <row r="85" spans="2:10" x14ac:dyDescent="0.25">
      <c r="B85" s="5" t="s">
        <v>40</v>
      </c>
      <c r="C85" s="6"/>
      <c r="D85" s="7"/>
      <c r="E85" s="7"/>
      <c r="F85" s="8"/>
    </row>
    <row r="86" spans="2:10" x14ac:dyDescent="0.25">
      <c r="B86" s="5" t="s">
        <v>32</v>
      </c>
      <c r="C86" s="6" t="s">
        <v>18</v>
      </c>
      <c r="D86" s="7">
        <f>4.5*2*680</f>
        <v>6120</v>
      </c>
      <c r="E86" s="7">
        <f>E29</f>
        <v>84</v>
      </c>
      <c r="F86" s="8">
        <f>E86*D86</f>
        <v>514080</v>
      </c>
    </row>
    <row r="87" spans="2:10" x14ac:dyDescent="0.25">
      <c r="B87" s="5" t="s">
        <v>43</v>
      </c>
      <c r="C87" s="6" t="s">
        <v>22</v>
      </c>
      <c r="D87" s="7">
        <v>680</v>
      </c>
      <c r="E87" s="10">
        <f>((2.125+2.125)*1.5)*(2.125*0.15)*1650*1.8</f>
        <v>6035.1328124999991</v>
      </c>
      <c r="F87" s="8">
        <f>E87*D87</f>
        <v>4103890.3124999995</v>
      </c>
    </row>
    <row r="88" spans="2:10" x14ac:dyDescent="0.25">
      <c r="B88" s="5" t="s">
        <v>41</v>
      </c>
      <c r="C88" s="6"/>
      <c r="D88" s="7"/>
      <c r="E88" s="7"/>
      <c r="F88" s="8"/>
    </row>
    <row r="89" spans="2:10" x14ac:dyDescent="0.25">
      <c r="B89" s="5" t="s">
        <v>32</v>
      </c>
      <c r="C89" s="6" t="s">
        <v>18</v>
      </c>
      <c r="D89" s="7">
        <f>450*3*2*0.5</f>
        <v>1350</v>
      </c>
      <c r="E89" s="7">
        <f>E29</f>
        <v>84</v>
      </c>
      <c r="F89" s="8">
        <f>E89*D89</f>
        <v>113400</v>
      </c>
    </row>
    <row r="90" spans="2:10" x14ac:dyDescent="0.25">
      <c r="B90" s="5" t="s">
        <v>42</v>
      </c>
      <c r="C90" s="6" t="s">
        <v>22</v>
      </c>
      <c r="D90" s="7">
        <v>450</v>
      </c>
      <c r="E90" s="10">
        <f>((2.125+2.125)*1.5)*(2.125*0.15)*1650*1.8</f>
        <v>6035.1328124999991</v>
      </c>
      <c r="F90" s="8">
        <f>E90*D90</f>
        <v>2715809.7656249995</v>
      </c>
    </row>
    <row r="91" spans="2:10" x14ac:dyDescent="0.25">
      <c r="B91" s="5"/>
      <c r="C91" s="6"/>
      <c r="D91" s="7"/>
      <c r="E91" s="7"/>
      <c r="F91" s="8"/>
    </row>
    <row r="92" spans="2:10" x14ac:dyDescent="0.25">
      <c r="B92" s="9" t="s">
        <v>15</v>
      </c>
      <c r="C92" s="6"/>
      <c r="D92" s="7"/>
      <c r="E92" s="7"/>
      <c r="F92" s="8"/>
    </row>
    <row r="93" spans="2:10" x14ac:dyDescent="0.25">
      <c r="B93" s="5" t="s">
        <v>32</v>
      </c>
      <c r="C93" s="12" t="s">
        <v>37</v>
      </c>
      <c r="D93" s="7">
        <f>25*5.5*820</f>
        <v>112750</v>
      </c>
      <c r="E93" s="7">
        <f>E29</f>
        <v>84</v>
      </c>
      <c r="F93" s="8">
        <f>E93*D93</f>
        <v>9471000</v>
      </c>
    </row>
    <row r="94" spans="2:10" x14ac:dyDescent="0.25">
      <c r="B94" s="5" t="s">
        <v>45</v>
      </c>
      <c r="C94" s="12" t="s">
        <v>22</v>
      </c>
      <c r="D94" s="7">
        <v>820</v>
      </c>
      <c r="E94" s="10">
        <f>((4.15+4.15)*1.5)*(4.15*0.15)*1650*1.8</f>
        <v>23017.871250000007</v>
      </c>
      <c r="F94" s="8">
        <f>E94*D94</f>
        <v>18874654.425000004</v>
      </c>
    </row>
    <row r="95" spans="2:10" x14ac:dyDescent="0.25">
      <c r="B95" s="5"/>
      <c r="C95" s="12"/>
      <c r="D95" s="7"/>
      <c r="E95" s="7"/>
      <c r="F95" s="8"/>
      <c r="H95" s="2"/>
      <c r="J95" s="4"/>
    </row>
    <row r="96" spans="2:10" x14ac:dyDescent="0.25">
      <c r="B96" s="9" t="s">
        <v>16</v>
      </c>
      <c r="C96" s="6"/>
      <c r="D96" s="7"/>
      <c r="E96" s="7"/>
      <c r="F96" s="8"/>
      <c r="H96" s="2"/>
      <c r="J96" s="4"/>
    </row>
    <row r="97" spans="2:10" x14ac:dyDescent="0.25">
      <c r="B97" s="5" t="s">
        <v>47</v>
      </c>
      <c r="C97" s="12" t="s">
        <v>37</v>
      </c>
      <c r="D97" s="7">
        <f>70*460*5.5</f>
        <v>177100</v>
      </c>
      <c r="E97" s="7">
        <f>E29</f>
        <v>84</v>
      </c>
      <c r="F97" s="8">
        <f>E97*D97</f>
        <v>14876400</v>
      </c>
      <c r="H97" s="2"/>
      <c r="J97" s="4"/>
    </row>
    <row r="98" spans="2:10" x14ac:dyDescent="0.25">
      <c r="B98" s="5" t="s">
        <v>38</v>
      </c>
      <c r="C98" s="12" t="s">
        <v>22</v>
      </c>
      <c r="D98" s="7">
        <v>460</v>
      </c>
      <c r="E98" s="10">
        <f>((5.5+5.5)*1.5)*(5.5*0.15)*1650*1.8</f>
        <v>40429.125</v>
      </c>
      <c r="F98" s="8">
        <f>E98*D98</f>
        <v>18597397.5</v>
      </c>
      <c r="H98" s="2"/>
      <c r="J98" s="4"/>
    </row>
    <row r="99" spans="2:10" x14ac:dyDescent="0.25">
      <c r="B99" s="5"/>
      <c r="C99" s="6"/>
      <c r="D99" s="7"/>
      <c r="E99" s="7"/>
      <c r="F99" s="8"/>
      <c r="J99" s="4"/>
    </row>
    <row r="100" spans="2:10" x14ac:dyDescent="0.25">
      <c r="B100" s="9" t="s">
        <v>17</v>
      </c>
      <c r="C100" s="6"/>
      <c r="D100" s="7"/>
      <c r="E100" s="7"/>
      <c r="F100" s="8"/>
      <c r="J100" s="4"/>
    </row>
    <row r="101" spans="2:10" x14ac:dyDescent="0.25">
      <c r="B101" s="5" t="s">
        <v>49</v>
      </c>
      <c r="C101" s="6" t="s">
        <v>22</v>
      </c>
      <c r="D101" s="13">
        <v>19624</v>
      </c>
      <c r="E101" s="10">
        <f>3000*0.6</f>
        <v>1800</v>
      </c>
      <c r="F101" s="8">
        <f>E101*D101</f>
        <v>35323200</v>
      </c>
      <c r="H101" s="2"/>
    </row>
    <row r="102" spans="2:10" x14ac:dyDescent="0.25">
      <c r="B102" s="5" t="s">
        <v>50</v>
      </c>
      <c r="C102" s="6" t="s">
        <v>22</v>
      </c>
      <c r="D102" s="13">
        <v>10057</v>
      </c>
      <c r="E102" s="10">
        <f>3000*0.8</f>
        <v>2400</v>
      </c>
      <c r="F102" s="8">
        <f t="shared" ref="F102:F108" si="11">E102*D102</f>
        <v>24136800</v>
      </c>
      <c r="G102" s="2"/>
      <c r="H102" s="2"/>
    </row>
    <row r="103" spans="2:10" x14ac:dyDescent="0.25">
      <c r="B103" s="5" t="s">
        <v>51</v>
      </c>
      <c r="C103" s="6" t="s">
        <v>22</v>
      </c>
      <c r="D103" s="13">
        <v>4738.8</v>
      </c>
      <c r="E103" s="10">
        <f>3000*1</f>
        <v>3000</v>
      </c>
      <c r="F103" s="8">
        <f t="shared" si="11"/>
        <v>14216400</v>
      </c>
    </row>
    <row r="104" spans="2:10" x14ac:dyDescent="0.25">
      <c r="B104" s="5" t="s">
        <v>52</v>
      </c>
      <c r="C104" s="6" t="s">
        <v>22</v>
      </c>
      <c r="D104" s="13">
        <v>3579</v>
      </c>
      <c r="E104" s="10">
        <f>3000*1.2</f>
        <v>3600</v>
      </c>
      <c r="F104" s="8">
        <f t="shared" si="11"/>
        <v>12884400</v>
      </c>
    </row>
    <row r="105" spans="2:10" x14ac:dyDescent="0.25">
      <c r="B105" s="5" t="s">
        <v>53</v>
      </c>
      <c r="C105" s="6" t="s">
        <v>22</v>
      </c>
      <c r="D105" s="13">
        <v>467</v>
      </c>
      <c r="E105" s="10">
        <f>3000*1.6</f>
        <v>4800</v>
      </c>
      <c r="F105" s="8">
        <f t="shared" si="11"/>
        <v>2241600</v>
      </c>
    </row>
    <row r="106" spans="2:10" x14ac:dyDescent="0.25">
      <c r="B106" s="5" t="s">
        <v>54</v>
      </c>
      <c r="C106" s="6" t="s">
        <v>22</v>
      </c>
      <c r="D106" s="13">
        <v>100</v>
      </c>
      <c r="E106" s="10">
        <f>1.8*3000</f>
        <v>5400</v>
      </c>
      <c r="F106" s="8">
        <f t="shared" si="11"/>
        <v>540000</v>
      </c>
    </row>
    <row r="107" spans="2:10" x14ac:dyDescent="0.25">
      <c r="B107" s="5" t="s">
        <v>55</v>
      </c>
      <c r="C107" s="6" t="s">
        <v>22</v>
      </c>
      <c r="D107" s="13">
        <v>960</v>
      </c>
      <c r="E107" s="10">
        <f>2*3000</f>
        <v>6000</v>
      </c>
      <c r="F107" s="8">
        <f t="shared" si="11"/>
        <v>5760000</v>
      </c>
    </row>
    <row r="108" spans="2:10" x14ac:dyDescent="0.25">
      <c r="B108" s="5" t="s">
        <v>56</v>
      </c>
      <c r="C108" s="6" t="s">
        <v>22</v>
      </c>
      <c r="D108" s="13">
        <v>257</v>
      </c>
      <c r="E108" s="10">
        <f>2.5*3000</f>
        <v>7500</v>
      </c>
      <c r="F108" s="8">
        <f t="shared" si="11"/>
        <v>1927500</v>
      </c>
    </row>
    <row r="109" spans="2:10" x14ac:dyDescent="0.25">
      <c r="B109" s="5"/>
      <c r="C109" s="6"/>
      <c r="D109" s="7"/>
      <c r="E109" s="7"/>
      <c r="F109" s="8"/>
    </row>
    <row r="110" spans="2:10" x14ac:dyDescent="0.25">
      <c r="B110" s="40" t="s">
        <v>74</v>
      </c>
      <c r="C110" s="41"/>
      <c r="D110" s="42"/>
      <c r="E110" s="42"/>
      <c r="F110" s="43">
        <f>SUM(F111:F115)</f>
        <v>21064999.999999996</v>
      </c>
    </row>
    <row r="111" spans="2:10" x14ac:dyDescent="0.25">
      <c r="B111" s="34" t="s">
        <v>26</v>
      </c>
      <c r="C111" s="35" t="s">
        <v>31</v>
      </c>
      <c r="D111" s="36">
        <f>90*(7.2+2.5+2.5+1.2)</f>
        <v>1205.9999999999998</v>
      </c>
      <c r="E111" s="37">
        <v>12000</v>
      </c>
      <c r="F111" s="38">
        <f>E111*D111</f>
        <v>14471999.999999998</v>
      </c>
    </row>
    <row r="112" spans="2:10" x14ac:dyDescent="0.25">
      <c r="B112" s="5" t="s">
        <v>27</v>
      </c>
      <c r="C112" s="6" t="s">
        <v>31</v>
      </c>
      <c r="D112" s="7">
        <f>90*4</f>
        <v>360</v>
      </c>
      <c r="E112" s="10">
        <v>4500</v>
      </c>
      <c r="F112" s="8">
        <f>E112*D112</f>
        <v>1620000</v>
      </c>
    </row>
    <row r="113" spans="2:6" x14ac:dyDescent="0.25">
      <c r="B113" s="5" t="s">
        <v>28</v>
      </c>
      <c r="C113" s="6" t="s">
        <v>31</v>
      </c>
      <c r="D113" s="7">
        <f>35*4</f>
        <v>140</v>
      </c>
      <c r="E113" s="10">
        <v>4500</v>
      </c>
      <c r="F113" s="8">
        <f>E113*D113</f>
        <v>630000</v>
      </c>
    </row>
    <row r="114" spans="2:6" x14ac:dyDescent="0.25">
      <c r="B114" s="5" t="s">
        <v>29</v>
      </c>
      <c r="C114" s="6" t="s">
        <v>31</v>
      </c>
      <c r="D114" s="7">
        <f>35*(7.2+2.5+2.5+1.2)</f>
        <v>468.99999999999994</v>
      </c>
      <c r="E114" s="10">
        <v>7000</v>
      </c>
      <c r="F114" s="8">
        <f>E114*D114</f>
        <v>3282999.9999999995</v>
      </c>
    </row>
    <row r="115" spans="2:6" x14ac:dyDescent="0.25">
      <c r="B115" s="14" t="s">
        <v>30</v>
      </c>
      <c r="C115" s="15" t="s">
        <v>31</v>
      </c>
      <c r="D115" s="16">
        <f>10*(7.2+7.2+2.5+2.5+1.8)</f>
        <v>212</v>
      </c>
      <c r="E115" s="17">
        <v>5000</v>
      </c>
      <c r="F115" s="18">
        <f>E115*D115</f>
        <v>1060000</v>
      </c>
    </row>
    <row r="116" spans="2:6" ht="7.5" customHeight="1" x14ac:dyDescent="0.25"/>
    <row r="117" spans="2:6" x14ac:dyDescent="0.25">
      <c r="B117" s="1" t="s">
        <v>72</v>
      </c>
      <c r="C117" s="3" t="s">
        <v>66</v>
      </c>
      <c r="D117" s="2">
        <v>1</v>
      </c>
      <c r="E117" s="2">
        <f>640000000*0.04</f>
        <v>25600000</v>
      </c>
      <c r="F117" s="33">
        <f>E117*D117</f>
        <v>25600000</v>
      </c>
    </row>
    <row r="118" spans="2:6" ht="7.5" customHeight="1" x14ac:dyDescent="0.25">
      <c r="B118" s="1"/>
      <c r="F118" s="33"/>
    </row>
    <row r="119" spans="2:6" x14ac:dyDescent="0.25">
      <c r="B119" s="1" t="s">
        <v>73</v>
      </c>
      <c r="C119" s="3" t="s">
        <v>66</v>
      </c>
      <c r="D119" s="2">
        <v>1</v>
      </c>
      <c r="E119" s="2">
        <f>640000000*0.03</f>
        <v>19200000</v>
      </c>
      <c r="F119" s="33">
        <f>E119*D119</f>
        <v>19200000</v>
      </c>
    </row>
    <row r="120" spans="2:6" ht="15.75" thickBot="1" x14ac:dyDescent="0.3"/>
    <row r="121" spans="2:6" ht="15.75" thickBot="1" x14ac:dyDescent="0.3">
      <c r="F121" s="29">
        <f>(SUM(F6:F115)/2)+F117+F119</f>
        <v>683012700.01614833</v>
      </c>
    </row>
  </sheetData>
  <pageMargins left="0.51181102362204722" right="0.51181102362204722" top="0.78740157480314965" bottom="0.78740157480314965" header="0.31496062992125984" footer="0.31496062992125984"/>
  <pageSetup paperSize="9" fitToHeight="1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15"/>
  <sheetViews>
    <sheetView tabSelected="1" view="pageBreakPreview" zoomScale="80" zoomScaleNormal="85" zoomScaleSheetLayoutView="80" workbookViewId="0">
      <selection activeCell="J12" sqref="J12"/>
    </sheetView>
  </sheetViews>
  <sheetFormatPr defaultColWidth="9.140625" defaultRowHeight="24.95" customHeight="1" x14ac:dyDescent="0.25"/>
  <cols>
    <col min="1" max="1" width="9.140625" style="76"/>
    <col min="2" max="2" width="70.7109375" style="54" customWidth="1"/>
    <col min="3" max="3" width="7.85546875" style="55" bestFit="1" customWidth="1"/>
    <col min="4" max="4" width="15" style="90" bestFit="1" customWidth="1"/>
    <col min="5" max="5" width="12.140625" style="101" bestFit="1" customWidth="1"/>
    <col min="6" max="6" width="17.42578125" style="90" customWidth="1"/>
    <col min="7" max="16384" width="9.140625" style="44"/>
  </cols>
  <sheetData>
    <row r="1" spans="1:6" ht="24.95" customHeight="1" x14ac:dyDescent="0.25">
      <c r="B1" s="44"/>
    </row>
    <row r="2" spans="1:6" ht="43.5" customHeight="1" x14ac:dyDescent="0.25">
      <c r="A2" s="85" t="s">
        <v>165</v>
      </c>
      <c r="B2" s="85"/>
      <c r="C2" s="85"/>
      <c r="D2" s="85"/>
      <c r="E2" s="85"/>
      <c r="F2" s="85"/>
    </row>
    <row r="3" spans="1:6" ht="24.95" customHeight="1" x14ac:dyDescent="0.25">
      <c r="A3" s="61" t="s">
        <v>79</v>
      </c>
      <c r="B3" s="62" t="s">
        <v>78</v>
      </c>
      <c r="C3" s="86"/>
      <c r="D3" s="86"/>
      <c r="E3" s="102"/>
      <c r="F3" s="91" t="s">
        <v>163</v>
      </c>
    </row>
    <row r="4" spans="1:6" ht="24.95" customHeight="1" x14ac:dyDescent="0.25">
      <c r="A4" s="63">
        <f>A13</f>
        <v>1</v>
      </c>
      <c r="B4" s="64" t="str">
        <f>B13</f>
        <v>REVITALIZAÇÃO URBANÍSTICA</v>
      </c>
      <c r="C4" s="87"/>
      <c r="D4" s="87"/>
      <c r="E4" s="103"/>
      <c r="F4" s="89">
        <f>F13</f>
        <v>0</v>
      </c>
    </row>
    <row r="5" spans="1:6" ht="5.25" customHeight="1" x14ac:dyDescent="0.25">
      <c r="A5" s="66"/>
      <c r="B5" s="70"/>
      <c r="C5" s="71"/>
      <c r="D5" s="104"/>
      <c r="E5" s="105"/>
      <c r="F5" s="92"/>
    </row>
    <row r="6" spans="1:6" ht="24.95" customHeight="1" x14ac:dyDescent="0.25">
      <c r="A6" s="77"/>
      <c r="B6" s="68" t="s">
        <v>170</v>
      </c>
      <c r="C6" s="69">
        <v>0.03</v>
      </c>
      <c r="D6" s="106"/>
      <c r="E6" s="107"/>
      <c r="F6" s="65">
        <f>C6*F4</f>
        <v>0</v>
      </c>
    </row>
    <row r="7" spans="1:6" ht="5.25" customHeight="1" x14ac:dyDescent="0.25">
      <c r="A7" s="66"/>
      <c r="B7" s="70"/>
      <c r="C7" s="71"/>
      <c r="D7" s="104"/>
      <c r="E7" s="105"/>
      <c r="F7" s="92"/>
    </row>
    <row r="8" spans="1:6" ht="24.95" customHeight="1" x14ac:dyDescent="0.25">
      <c r="A8" s="78"/>
      <c r="B8" s="72" t="s">
        <v>164</v>
      </c>
      <c r="C8" s="73"/>
      <c r="D8" s="108"/>
      <c r="E8" s="109"/>
      <c r="F8" s="67">
        <f>F4+F6</f>
        <v>0</v>
      </c>
    </row>
    <row r="9" spans="1:6" ht="24.95" customHeight="1" x14ac:dyDescent="0.25">
      <c r="A9" s="79"/>
      <c r="B9" s="59"/>
      <c r="C9" s="60"/>
      <c r="D9" s="93"/>
      <c r="E9" s="110"/>
      <c r="F9" s="93"/>
    </row>
    <row r="10" spans="1:6" ht="36" customHeight="1" x14ac:dyDescent="0.25">
      <c r="A10" s="88" t="s">
        <v>165</v>
      </c>
      <c r="B10" s="88"/>
      <c r="C10" s="88"/>
      <c r="D10" s="88"/>
      <c r="E10" s="88"/>
      <c r="F10" s="88"/>
    </row>
    <row r="11" spans="1:6" ht="24.95" customHeight="1" x14ac:dyDescent="0.25">
      <c r="A11" s="79"/>
      <c r="B11" s="59"/>
      <c r="C11" s="60"/>
      <c r="D11" s="93"/>
      <c r="E11" s="111" t="s">
        <v>171</v>
      </c>
      <c r="F11" s="111"/>
    </row>
    <row r="12" spans="1:6" ht="24.95" customHeight="1" x14ac:dyDescent="0.25">
      <c r="A12" s="58" t="s">
        <v>79</v>
      </c>
      <c r="B12" s="58" t="s">
        <v>78</v>
      </c>
      <c r="C12" s="58" t="s">
        <v>77</v>
      </c>
      <c r="D12" s="94" t="s">
        <v>161</v>
      </c>
      <c r="E12" s="94" t="s">
        <v>162</v>
      </c>
      <c r="F12" s="94" t="s">
        <v>163</v>
      </c>
    </row>
    <row r="13" spans="1:6" ht="24.95" customHeight="1" x14ac:dyDescent="0.25">
      <c r="A13" s="49">
        <v>1</v>
      </c>
      <c r="B13" s="50" t="s">
        <v>99</v>
      </c>
      <c r="C13" s="50"/>
      <c r="D13" s="95"/>
      <c r="E13" s="112"/>
      <c r="F13" s="95">
        <f>F14+F19+F64+F74+F80+F86+F99</f>
        <v>0</v>
      </c>
    </row>
    <row r="14" spans="1:6" ht="24.95" customHeight="1" x14ac:dyDescent="0.25">
      <c r="A14" s="45" t="s">
        <v>157</v>
      </c>
      <c r="B14" s="46" t="s">
        <v>106</v>
      </c>
      <c r="C14" s="46" t="s">
        <v>83</v>
      </c>
      <c r="D14" s="96"/>
      <c r="E14" s="96"/>
      <c r="F14" s="96">
        <f>SUM(F15:F18)</f>
        <v>0</v>
      </c>
    </row>
    <row r="15" spans="1:6" ht="24.95" customHeight="1" x14ac:dyDescent="0.25">
      <c r="A15" s="47" t="s">
        <v>158</v>
      </c>
      <c r="B15" s="48" t="s">
        <v>107</v>
      </c>
      <c r="C15" s="56" t="s">
        <v>80</v>
      </c>
      <c r="D15" s="113">
        <v>453.5</v>
      </c>
      <c r="E15" s="97"/>
      <c r="F15" s="97">
        <f t="shared" ref="F15:F18" si="0">TRUNC(D15*E15,2)</f>
        <v>0</v>
      </c>
    </row>
    <row r="16" spans="1:6" ht="24.95" customHeight="1" x14ac:dyDescent="0.25">
      <c r="A16" s="47" t="s">
        <v>166</v>
      </c>
      <c r="B16" s="48" t="s">
        <v>102</v>
      </c>
      <c r="C16" s="56" t="s">
        <v>76</v>
      </c>
      <c r="D16" s="97">
        <v>680.25</v>
      </c>
      <c r="E16" s="97"/>
      <c r="F16" s="97">
        <f t="shared" si="0"/>
        <v>0</v>
      </c>
    </row>
    <row r="17" spans="1:6" ht="24.95" customHeight="1" x14ac:dyDescent="0.25">
      <c r="A17" s="47" t="s">
        <v>172</v>
      </c>
      <c r="B17" s="48" t="s">
        <v>108</v>
      </c>
      <c r="C17" s="56" t="s">
        <v>80</v>
      </c>
      <c r="D17" s="113">
        <v>10845.8</v>
      </c>
      <c r="E17" s="97"/>
      <c r="F17" s="97">
        <f t="shared" si="0"/>
        <v>0</v>
      </c>
    </row>
    <row r="18" spans="1:6" ht="24.95" customHeight="1" x14ac:dyDescent="0.25">
      <c r="A18" s="47" t="s">
        <v>167</v>
      </c>
      <c r="B18" s="48" t="s">
        <v>102</v>
      </c>
      <c r="C18" s="56" t="s">
        <v>76</v>
      </c>
      <c r="D18" s="97">
        <v>1084.58</v>
      </c>
      <c r="E18" s="97"/>
      <c r="F18" s="97">
        <f t="shared" si="0"/>
        <v>0</v>
      </c>
    </row>
    <row r="19" spans="1:6" ht="24.95" customHeight="1" x14ac:dyDescent="0.25">
      <c r="A19" s="45" t="s">
        <v>159</v>
      </c>
      <c r="B19" s="46" t="s">
        <v>84</v>
      </c>
      <c r="C19" s="46" t="s">
        <v>83</v>
      </c>
      <c r="D19" s="96"/>
      <c r="E19" s="96"/>
      <c r="F19" s="96">
        <f>F20+F27+F34+F45+F53+F60</f>
        <v>0</v>
      </c>
    </row>
    <row r="20" spans="1:6" s="52" customFormat="1" ht="24.95" customHeight="1" x14ac:dyDescent="0.25">
      <c r="A20" s="80" t="s">
        <v>160</v>
      </c>
      <c r="B20" s="51" t="s">
        <v>109</v>
      </c>
      <c r="C20" s="57"/>
      <c r="D20" s="114"/>
      <c r="E20" s="98"/>
      <c r="F20" s="98">
        <f>SUM(F21:F26)</f>
        <v>0</v>
      </c>
    </row>
    <row r="21" spans="1:6" ht="24.95" customHeight="1" x14ac:dyDescent="0.25">
      <c r="A21" s="47" t="s">
        <v>173</v>
      </c>
      <c r="B21" s="48" t="s">
        <v>101</v>
      </c>
      <c r="C21" s="56" t="s">
        <v>76</v>
      </c>
      <c r="D21" s="97">
        <v>1084.5899999999999</v>
      </c>
      <c r="E21" s="97"/>
      <c r="F21" s="97">
        <f>TRUNC(D21*E21,2)</f>
        <v>0</v>
      </c>
    </row>
    <row r="22" spans="1:6" ht="24.95" customHeight="1" x14ac:dyDescent="0.25">
      <c r="A22" s="47" t="s">
        <v>174</v>
      </c>
      <c r="B22" s="48" t="s">
        <v>102</v>
      </c>
      <c r="C22" s="56" t="s">
        <v>76</v>
      </c>
      <c r="D22" s="97">
        <v>1084.5899999999999</v>
      </c>
      <c r="E22" s="97"/>
      <c r="F22" s="97">
        <f t="shared" ref="F22:F26" si="1">TRUNC(D22*E22,2)</f>
        <v>0</v>
      </c>
    </row>
    <row r="23" spans="1:6" ht="24.95" customHeight="1" x14ac:dyDescent="0.25">
      <c r="A23" s="47" t="s">
        <v>175</v>
      </c>
      <c r="B23" s="48" t="s">
        <v>110</v>
      </c>
      <c r="C23" s="56" t="s">
        <v>80</v>
      </c>
      <c r="D23" s="97">
        <v>10845.9</v>
      </c>
      <c r="E23" s="97"/>
      <c r="F23" s="97">
        <f t="shared" si="1"/>
        <v>0</v>
      </c>
    </row>
    <row r="24" spans="1:6" ht="24.95" customHeight="1" x14ac:dyDescent="0.25">
      <c r="A24" s="47" t="s">
        <v>176</v>
      </c>
      <c r="B24" s="48" t="s">
        <v>134</v>
      </c>
      <c r="C24" s="56" t="s">
        <v>76</v>
      </c>
      <c r="D24" s="97">
        <v>1084.5899999999999</v>
      </c>
      <c r="E24" s="97"/>
      <c r="F24" s="97">
        <f t="shared" si="1"/>
        <v>0</v>
      </c>
    </row>
    <row r="25" spans="1:6" ht="24.95" customHeight="1" x14ac:dyDescent="0.25">
      <c r="A25" s="47" t="s">
        <v>177</v>
      </c>
      <c r="B25" s="48" t="s">
        <v>111</v>
      </c>
      <c r="C25" s="56" t="s">
        <v>76</v>
      </c>
      <c r="D25" s="97">
        <v>542.15578028796028</v>
      </c>
      <c r="E25" s="97"/>
      <c r="F25" s="97">
        <f t="shared" si="1"/>
        <v>0</v>
      </c>
    </row>
    <row r="26" spans="1:6" ht="24.95" customHeight="1" x14ac:dyDescent="0.25">
      <c r="A26" s="47" t="s">
        <v>178</v>
      </c>
      <c r="B26" s="48" t="s">
        <v>136</v>
      </c>
      <c r="C26" s="56" t="s">
        <v>80</v>
      </c>
      <c r="D26" s="97">
        <v>10845.9</v>
      </c>
      <c r="E26" s="97"/>
      <c r="F26" s="97">
        <f t="shared" si="1"/>
        <v>0</v>
      </c>
    </row>
    <row r="27" spans="1:6" s="52" customFormat="1" ht="24.95" customHeight="1" x14ac:dyDescent="0.25">
      <c r="A27" s="80" t="s">
        <v>179</v>
      </c>
      <c r="B27" s="51" t="s">
        <v>85</v>
      </c>
      <c r="C27" s="57"/>
      <c r="D27" s="114"/>
      <c r="E27" s="98"/>
      <c r="F27" s="98">
        <f>SUM(F28:F33)</f>
        <v>0</v>
      </c>
    </row>
    <row r="28" spans="1:6" ht="24.95" customHeight="1" x14ac:dyDescent="0.25">
      <c r="A28" s="47" t="s">
        <v>180</v>
      </c>
      <c r="B28" s="48" t="s">
        <v>101</v>
      </c>
      <c r="C28" s="56" t="s">
        <v>76</v>
      </c>
      <c r="D28" s="113">
        <v>613.43683599918836</v>
      </c>
      <c r="E28" s="97"/>
      <c r="F28" s="97">
        <f>TRUNC(D28*E28,2)</f>
        <v>0</v>
      </c>
    </row>
    <row r="29" spans="1:6" ht="24.95" customHeight="1" x14ac:dyDescent="0.25">
      <c r="A29" s="47" t="s">
        <v>181</v>
      </c>
      <c r="B29" s="48" t="s">
        <v>102</v>
      </c>
      <c r="C29" s="56" t="s">
        <v>76</v>
      </c>
      <c r="D29" s="113">
        <v>613.43683599918836</v>
      </c>
      <c r="E29" s="97"/>
      <c r="F29" s="97">
        <f t="shared" ref="F29:F33" si="2">TRUNC(D29*E29,2)</f>
        <v>0</v>
      </c>
    </row>
    <row r="30" spans="1:6" ht="24.95" customHeight="1" x14ac:dyDescent="0.25">
      <c r="A30" s="47" t="s">
        <v>182</v>
      </c>
      <c r="B30" s="48" t="s">
        <v>110</v>
      </c>
      <c r="C30" s="56" t="s">
        <v>80</v>
      </c>
      <c r="D30" s="113">
        <v>1858.9</v>
      </c>
      <c r="E30" s="97"/>
      <c r="F30" s="97">
        <f t="shared" si="2"/>
        <v>0</v>
      </c>
    </row>
    <row r="31" spans="1:6" ht="24.95" customHeight="1" x14ac:dyDescent="0.25">
      <c r="A31" s="47" t="s">
        <v>183</v>
      </c>
      <c r="B31" s="48" t="s">
        <v>134</v>
      </c>
      <c r="C31" s="56" t="s">
        <v>76</v>
      </c>
      <c r="D31" s="113">
        <v>371.78</v>
      </c>
      <c r="E31" s="97"/>
      <c r="F31" s="97">
        <f t="shared" si="2"/>
        <v>0</v>
      </c>
    </row>
    <row r="32" spans="1:6" ht="24.95" customHeight="1" x14ac:dyDescent="0.25">
      <c r="A32" s="47" t="s">
        <v>184</v>
      </c>
      <c r="B32" s="48" t="s">
        <v>112</v>
      </c>
      <c r="C32" s="56" t="s">
        <v>76</v>
      </c>
      <c r="D32" s="113">
        <v>92.947460012175</v>
      </c>
      <c r="E32" s="97"/>
      <c r="F32" s="97">
        <f t="shared" si="2"/>
        <v>0</v>
      </c>
    </row>
    <row r="33" spans="1:6" ht="24.95" customHeight="1" x14ac:dyDescent="0.25">
      <c r="A33" s="47" t="s">
        <v>185</v>
      </c>
      <c r="B33" s="48" t="s">
        <v>137</v>
      </c>
      <c r="C33" s="56" t="s">
        <v>80</v>
      </c>
      <c r="D33" s="113">
        <v>1858.9</v>
      </c>
      <c r="E33" s="97"/>
      <c r="F33" s="97">
        <f t="shared" si="2"/>
        <v>0</v>
      </c>
    </row>
    <row r="34" spans="1:6" s="52" customFormat="1" ht="24.95" customHeight="1" x14ac:dyDescent="0.25">
      <c r="A34" s="80" t="s">
        <v>186</v>
      </c>
      <c r="B34" s="51" t="s">
        <v>86</v>
      </c>
      <c r="C34" s="57"/>
      <c r="D34" s="114"/>
      <c r="E34" s="98"/>
      <c r="F34" s="98">
        <f>SUM(F35:F44)</f>
        <v>0</v>
      </c>
    </row>
    <row r="35" spans="1:6" ht="24.95" customHeight="1" x14ac:dyDescent="0.25">
      <c r="A35" s="47" t="s">
        <v>187</v>
      </c>
      <c r="B35" s="48" t="s">
        <v>113</v>
      </c>
      <c r="C35" s="56" t="s">
        <v>76</v>
      </c>
      <c r="D35" s="97">
        <v>544.86</v>
      </c>
      <c r="E35" s="97"/>
      <c r="F35" s="97">
        <f t="shared" ref="F35:F44" si="3">TRUNC(D35*E35,2)</f>
        <v>0</v>
      </c>
    </row>
    <row r="36" spans="1:6" ht="24.95" customHeight="1" x14ac:dyDescent="0.25">
      <c r="A36" s="47" t="s">
        <v>188</v>
      </c>
      <c r="B36" s="48" t="s">
        <v>102</v>
      </c>
      <c r="C36" s="56" t="s">
        <v>76</v>
      </c>
      <c r="D36" s="97">
        <v>544.86</v>
      </c>
      <c r="E36" s="97"/>
      <c r="F36" s="97">
        <f t="shared" si="3"/>
        <v>0</v>
      </c>
    </row>
    <row r="37" spans="1:6" ht="24.95" customHeight="1" x14ac:dyDescent="0.25">
      <c r="A37" s="47" t="s">
        <v>189</v>
      </c>
      <c r="B37" s="48" t="s">
        <v>114</v>
      </c>
      <c r="C37" s="56" t="s">
        <v>76</v>
      </c>
      <c r="D37" s="97">
        <v>1089.72</v>
      </c>
      <c r="E37" s="97"/>
      <c r="F37" s="97">
        <f t="shared" si="3"/>
        <v>0</v>
      </c>
    </row>
    <row r="38" spans="1:6" ht="24.95" customHeight="1" x14ac:dyDescent="0.25">
      <c r="A38" s="47" t="s">
        <v>190</v>
      </c>
      <c r="B38" s="48" t="s">
        <v>102</v>
      </c>
      <c r="C38" s="56" t="s">
        <v>76</v>
      </c>
      <c r="D38" s="97">
        <v>1089.72</v>
      </c>
      <c r="E38" s="97"/>
      <c r="F38" s="97">
        <f t="shared" si="3"/>
        <v>0</v>
      </c>
    </row>
    <row r="39" spans="1:6" ht="24.95" customHeight="1" x14ac:dyDescent="0.25">
      <c r="A39" s="47" t="s">
        <v>191</v>
      </c>
      <c r="B39" s="48" t="s">
        <v>155</v>
      </c>
      <c r="C39" s="56" t="s">
        <v>80</v>
      </c>
      <c r="D39" s="97">
        <v>2179.44</v>
      </c>
      <c r="E39" s="97"/>
      <c r="F39" s="97">
        <f t="shared" si="3"/>
        <v>0</v>
      </c>
    </row>
    <row r="40" spans="1:6" ht="24.95" customHeight="1" x14ac:dyDescent="0.25">
      <c r="A40" s="47" t="s">
        <v>192</v>
      </c>
      <c r="B40" s="48" t="s">
        <v>138</v>
      </c>
      <c r="C40" s="56" t="s">
        <v>76</v>
      </c>
      <c r="D40" s="97">
        <v>762.80399999999997</v>
      </c>
      <c r="E40" s="97"/>
      <c r="F40" s="97">
        <f t="shared" si="3"/>
        <v>0</v>
      </c>
    </row>
    <row r="41" spans="1:6" ht="24.95" customHeight="1" x14ac:dyDescent="0.25">
      <c r="A41" s="47" t="s">
        <v>193</v>
      </c>
      <c r="B41" s="48" t="s">
        <v>134</v>
      </c>
      <c r="C41" s="56" t="s">
        <v>76</v>
      </c>
      <c r="D41" s="97">
        <v>326.916</v>
      </c>
      <c r="E41" s="97"/>
      <c r="F41" s="97">
        <f t="shared" si="3"/>
        <v>0</v>
      </c>
    </row>
    <row r="42" spans="1:6" ht="24.95" customHeight="1" x14ac:dyDescent="0.25">
      <c r="A42" s="47" t="s">
        <v>194</v>
      </c>
      <c r="B42" s="48" t="s">
        <v>115</v>
      </c>
      <c r="C42" s="56" t="s">
        <v>80</v>
      </c>
      <c r="D42" s="97">
        <v>10897.2</v>
      </c>
      <c r="E42" s="97"/>
      <c r="F42" s="97">
        <f t="shared" si="3"/>
        <v>0</v>
      </c>
    </row>
    <row r="43" spans="1:6" ht="24.95" customHeight="1" x14ac:dyDescent="0.25">
      <c r="A43" s="47" t="s">
        <v>195</v>
      </c>
      <c r="B43" s="48" t="s">
        <v>116</v>
      </c>
      <c r="C43" s="56" t="s">
        <v>80</v>
      </c>
      <c r="D43" s="97">
        <v>2179.44</v>
      </c>
      <c r="E43" s="97"/>
      <c r="F43" s="97">
        <f t="shared" si="3"/>
        <v>0</v>
      </c>
    </row>
    <row r="44" spans="1:6" ht="24.95" customHeight="1" x14ac:dyDescent="0.25">
      <c r="A44" s="47" t="s">
        <v>196</v>
      </c>
      <c r="B44" s="48" t="s">
        <v>117</v>
      </c>
      <c r="C44" s="56" t="s">
        <v>100</v>
      </c>
      <c r="D44" s="97">
        <v>1362.15</v>
      </c>
      <c r="E44" s="97"/>
      <c r="F44" s="97">
        <f t="shared" si="3"/>
        <v>0</v>
      </c>
    </row>
    <row r="45" spans="1:6" s="52" customFormat="1" ht="24.95" customHeight="1" x14ac:dyDescent="0.25">
      <c r="A45" s="80" t="s">
        <v>197</v>
      </c>
      <c r="B45" s="51" t="s">
        <v>87</v>
      </c>
      <c r="C45" s="57"/>
      <c r="D45" s="114"/>
      <c r="E45" s="98"/>
      <c r="F45" s="98">
        <f>SUM(F46:F52)</f>
        <v>0</v>
      </c>
    </row>
    <row r="46" spans="1:6" ht="24.95" customHeight="1" x14ac:dyDescent="0.25">
      <c r="A46" s="47" t="s">
        <v>198</v>
      </c>
      <c r="B46" s="48" t="s">
        <v>101</v>
      </c>
      <c r="C46" s="56" t="s">
        <v>76</v>
      </c>
      <c r="D46" s="97">
        <v>1935.7942670831244</v>
      </c>
      <c r="E46" s="97"/>
      <c r="F46" s="97">
        <f t="shared" ref="F46:F52" si="4">TRUNC(D46*E46,2)</f>
        <v>0</v>
      </c>
    </row>
    <row r="47" spans="1:6" ht="24.95" customHeight="1" x14ac:dyDescent="0.25">
      <c r="A47" s="47" t="s">
        <v>199</v>
      </c>
      <c r="B47" s="48" t="s">
        <v>102</v>
      </c>
      <c r="C47" s="56" t="s">
        <v>76</v>
      </c>
      <c r="D47" s="97">
        <v>1935.7942670831244</v>
      </c>
      <c r="E47" s="97"/>
      <c r="F47" s="97">
        <f t="shared" si="4"/>
        <v>0</v>
      </c>
    </row>
    <row r="48" spans="1:6" ht="24.95" customHeight="1" x14ac:dyDescent="0.25">
      <c r="A48" s="47" t="s">
        <v>200</v>
      </c>
      <c r="B48" s="48" t="s">
        <v>110</v>
      </c>
      <c r="C48" s="56" t="s">
        <v>80</v>
      </c>
      <c r="D48" s="97">
        <v>7169.6</v>
      </c>
      <c r="E48" s="97"/>
      <c r="F48" s="97">
        <f t="shared" si="4"/>
        <v>0</v>
      </c>
    </row>
    <row r="49" spans="1:6" ht="24.95" customHeight="1" x14ac:dyDescent="0.25">
      <c r="A49" s="47" t="s">
        <v>201</v>
      </c>
      <c r="B49" s="48" t="s">
        <v>134</v>
      </c>
      <c r="C49" s="56" t="s">
        <v>76</v>
      </c>
      <c r="D49" s="97">
        <v>1720.7034962037503</v>
      </c>
      <c r="E49" s="97"/>
      <c r="F49" s="97">
        <f t="shared" si="4"/>
        <v>0</v>
      </c>
    </row>
    <row r="50" spans="1:6" ht="24.95" customHeight="1" x14ac:dyDescent="0.25">
      <c r="A50" s="47" t="s">
        <v>202</v>
      </c>
      <c r="B50" s="48" t="s">
        <v>115</v>
      </c>
      <c r="C50" s="56" t="s">
        <v>80</v>
      </c>
      <c r="D50" s="97">
        <v>7169.6</v>
      </c>
      <c r="E50" s="97"/>
      <c r="F50" s="97">
        <f t="shared" si="4"/>
        <v>0</v>
      </c>
    </row>
    <row r="51" spans="1:6" ht="24.95" customHeight="1" x14ac:dyDescent="0.25">
      <c r="A51" s="47" t="s">
        <v>203</v>
      </c>
      <c r="B51" s="48" t="s">
        <v>116</v>
      </c>
      <c r="C51" s="56" t="s">
        <v>80</v>
      </c>
      <c r="D51" s="97">
        <v>7169.6</v>
      </c>
      <c r="E51" s="97"/>
      <c r="F51" s="97">
        <f t="shared" si="4"/>
        <v>0</v>
      </c>
    </row>
    <row r="52" spans="1:6" ht="24.95" customHeight="1" x14ac:dyDescent="0.25">
      <c r="A52" s="47" t="s">
        <v>204</v>
      </c>
      <c r="B52" s="48" t="s">
        <v>117</v>
      </c>
      <c r="C52" s="56" t="s">
        <v>100</v>
      </c>
      <c r="D52" s="97">
        <v>537.71937025468787</v>
      </c>
      <c r="E52" s="97"/>
      <c r="F52" s="97">
        <f t="shared" si="4"/>
        <v>0</v>
      </c>
    </row>
    <row r="53" spans="1:6" s="52" customFormat="1" ht="24.95" customHeight="1" x14ac:dyDescent="0.25">
      <c r="A53" s="80" t="s">
        <v>205</v>
      </c>
      <c r="B53" s="51" t="s">
        <v>88</v>
      </c>
      <c r="C53" s="57"/>
      <c r="D53" s="114"/>
      <c r="E53" s="98"/>
      <c r="F53" s="98">
        <f>SUM(F54:F59)</f>
        <v>0</v>
      </c>
    </row>
    <row r="54" spans="1:6" ht="24.95" customHeight="1" x14ac:dyDescent="0.25">
      <c r="A54" s="47" t="s">
        <v>206</v>
      </c>
      <c r="B54" s="48" t="s">
        <v>101</v>
      </c>
      <c r="C54" s="56" t="s">
        <v>76</v>
      </c>
      <c r="D54" s="97">
        <v>2884.0471254007994</v>
      </c>
      <c r="E54" s="97"/>
      <c r="F54" s="97">
        <f>TRUNC(D54*E54,2)</f>
        <v>0</v>
      </c>
    </row>
    <row r="55" spans="1:6" ht="24.95" customHeight="1" x14ac:dyDescent="0.25">
      <c r="A55" s="47" t="s">
        <v>207</v>
      </c>
      <c r="B55" s="48" t="s">
        <v>102</v>
      </c>
      <c r="C55" s="56" t="s">
        <v>76</v>
      </c>
      <c r="D55" s="97">
        <v>2884.0471254007994</v>
      </c>
      <c r="E55" s="97"/>
      <c r="F55" s="97">
        <f t="shared" ref="F55:F59" si="5">TRUNC(D55*E55,2)</f>
        <v>0</v>
      </c>
    </row>
    <row r="56" spans="1:6" ht="24.95" customHeight="1" x14ac:dyDescent="0.25">
      <c r="A56" s="47" t="s">
        <v>208</v>
      </c>
      <c r="B56" s="48" t="s">
        <v>110</v>
      </c>
      <c r="C56" s="56" t="s">
        <v>80</v>
      </c>
      <c r="D56" s="97">
        <v>10871</v>
      </c>
      <c r="E56" s="97"/>
      <c r="F56" s="97">
        <f t="shared" si="5"/>
        <v>0</v>
      </c>
    </row>
    <row r="57" spans="1:6" ht="24.95" customHeight="1" x14ac:dyDescent="0.25">
      <c r="A57" s="47" t="s">
        <v>209</v>
      </c>
      <c r="B57" s="48" t="s">
        <v>103</v>
      </c>
      <c r="C57" s="56" t="s">
        <v>76</v>
      </c>
      <c r="D57" s="97">
        <v>543.55095497869729</v>
      </c>
      <c r="E57" s="97"/>
      <c r="F57" s="97">
        <f t="shared" si="5"/>
        <v>0</v>
      </c>
    </row>
    <row r="58" spans="1:6" ht="24.95" customHeight="1" x14ac:dyDescent="0.25">
      <c r="A58" s="47" t="s">
        <v>210</v>
      </c>
      <c r="B58" s="48" t="s">
        <v>104</v>
      </c>
      <c r="C58" s="56" t="s">
        <v>76</v>
      </c>
      <c r="D58" s="97">
        <v>1087.1000000000001</v>
      </c>
      <c r="E58" s="97"/>
      <c r="F58" s="97">
        <f t="shared" si="5"/>
        <v>0</v>
      </c>
    </row>
    <row r="59" spans="1:6" ht="24.95" customHeight="1" x14ac:dyDescent="0.25">
      <c r="A59" s="47" t="s">
        <v>211</v>
      </c>
      <c r="B59" s="48" t="s">
        <v>139</v>
      </c>
      <c r="C59" s="56" t="s">
        <v>80</v>
      </c>
      <c r="D59" s="97">
        <v>10871</v>
      </c>
      <c r="E59" s="97"/>
      <c r="F59" s="97">
        <f t="shared" si="5"/>
        <v>0</v>
      </c>
    </row>
    <row r="60" spans="1:6" s="52" customFormat="1" ht="24.95" customHeight="1" x14ac:dyDescent="0.25">
      <c r="A60" s="80" t="s">
        <v>212</v>
      </c>
      <c r="B60" s="51" t="s">
        <v>89</v>
      </c>
      <c r="C60" s="51" t="s">
        <v>83</v>
      </c>
      <c r="D60" s="98"/>
      <c r="E60" s="98"/>
      <c r="F60" s="98">
        <f>SUM(F61:F63)</f>
        <v>0</v>
      </c>
    </row>
    <row r="61" spans="1:6" ht="24.95" customHeight="1" x14ac:dyDescent="0.25">
      <c r="A61" s="47" t="s">
        <v>213</v>
      </c>
      <c r="B61" s="48" t="s">
        <v>105</v>
      </c>
      <c r="C61" s="56" t="s">
        <v>81</v>
      </c>
      <c r="D61" s="97">
        <v>3356</v>
      </c>
      <c r="E61" s="97"/>
      <c r="F61" s="97">
        <f t="shared" ref="F61:F63" si="6">TRUNC(D61*E61,2)</f>
        <v>0</v>
      </c>
    </row>
    <row r="62" spans="1:6" ht="24.95" customHeight="1" x14ac:dyDescent="0.25">
      <c r="A62" s="47" t="s">
        <v>214</v>
      </c>
      <c r="B62" s="48" t="s">
        <v>118</v>
      </c>
      <c r="C62" s="56" t="s">
        <v>81</v>
      </c>
      <c r="D62" s="97">
        <v>151.30000000000001</v>
      </c>
      <c r="E62" s="97"/>
      <c r="F62" s="97">
        <f t="shared" si="6"/>
        <v>0</v>
      </c>
    </row>
    <row r="63" spans="1:6" ht="24.95" customHeight="1" x14ac:dyDescent="0.25">
      <c r="A63" s="47" t="s">
        <v>215</v>
      </c>
      <c r="B63" s="48" t="s">
        <v>119</v>
      </c>
      <c r="C63" s="56" t="s">
        <v>81</v>
      </c>
      <c r="D63" s="113">
        <v>7804.7</v>
      </c>
      <c r="E63" s="97"/>
      <c r="F63" s="97">
        <f t="shared" si="6"/>
        <v>0</v>
      </c>
    </row>
    <row r="64" spans="1:6" ht="24.95" customHeight="1" x14ac:dyDescent="0.25">
      <c r="A64" s="45" t="s">
        <v>168</v>
      </c>
      <c r="B64" s="46" t="s">
        <v>90</v>
      </c>
      <c r="C64" s="46" t="s">
        <v>83</v>
      </c>
      <c r="D64" s="96"/>
      <c r="E64" s="96"/>
      <c r="F64" s="96">
        <f>F65+F70</f>
        <v>0</v>
      </c>
    </row>
    <row r="65" spans="1:6" s="52" customFormat="1" ht="24.95" customHeight="1" x14ac:dyDescent="0.25">
      <c r="A65" s="80" t="s">
        <v>169</v>
      </c>
      <c r="B65" s="51" t="s">
        <v>120</v>
      </c>
      <c r="C65" s="51" t="s">
        <v>83</v>
      </c>
      <c r="D65" s="98"/>
      <c r="E65" s="98"/>
      <c r="F65" s="98">
        <f>SUM(F66:F69)</f>
        <v>0</v>
      </c>
    </row>
    <row r="66" spans="1:6" ht="24.95" customHeight="1" x14ac:dyDescent="0.25">
      <c r="A66" s="47" t="s">
        <v>216</v>
      </c>
      <c r="B66" s="48" t="s">
        <v>121</v>
      </c>
      <c r="C66" s="56" t="s">
        <v>80</v>
      </c>
      <c r="D66" s="97">
        <v>460.5</v>
      </c>
      <c r="E66" s="97"/>
      <c r="F66" s="97">
        <f t="shared" ref="F66:F69" si="7">TRUNC(D66*E66,2)</f>
        <v>0</v>
      </c>
    </row>
    <row r="67" spans="1:6" ht="24.95" customHeight="1" x14ac:dyDescent="0.25">
      <c r="A67" s="47" t="s">
        <v>217</v>
      </c>
      <c r="B67" s="48" t="s">
        <v>122</v>
      </c>
      <c r="C67" s="56" t="s">
        <v>80</v>
      </c>
      <c r="D67" s="113">
        <v>249.53000000000003</v>
      </c>
      <c r="E67" s="97"/>
      <c r="F67" s="97">
        <f t="shared" si="7"/>
        <v>0</v>
      </c>
    </row>
    <row r="68" spans="1:6" ht="24.95" customHeight="1" x14ac:dyDescent="0.25">
      <c r="A68" s="47" t="s">
        <v>218</v>
      </c>
      <c r="B68" s="48" t="s">
        <v>123</v>
      </c>
      <c r="C68" s="56" t="s">
        <v>80</v>
      </c>
      <c r="D68" s="113">
        <v>142.44000000000003</v>
      </c>
      <c r="E68" s="97"/>
      <c r="F68" s="97">
        <f t="shared" si="7"/>
        <v>0</v>
      </c>
    </row>
    <row r="69" spans="1:6" ht="24.95" customHeight="1" x14ac:dyDescent="0.25">
      <c r="A69" s="47" t="s">
        <v>219</v>
      </c>
      <c r="B69" s="48" t="s">
        <v>124</v>
      </c>
      <c r="C69" s="56" t="s">
        <v>80</v>
      </c>
      <c r="D69" s="113">
        <v>99.9</v>
      </c>
      <c r="E69" s="97"/>
      <c r="F69" s="97">
        <f t="shared" si="7"/>
        <v>0</v>
      </c>
    </row>
    <row r="70" spans="1:6" s="52" customFormat="1" ht="24.95" customHeight="1" x14ac:dyDescent="0.25">
      <c r="A70" s="80" t="s">
        <v>220</v>
      </c>
      <c r="B70" s="51" t="s">
        <v>125</v>
      </c>
      <c r="C70" s="51" t="s">
        <v>83</v>
      </c>
      <c r="D70" s="98"/>
      <c r="E70" s="98"/>
      <c r="F70" s="98">
        <f>SUM(F71:F73)</f>
        <v>0</v>
      </c>
    </row>
    <row r="71" spans="1:6" ht="24.95" customHeight="1" x14ac:dyDescent="0.25">
      <c r="A71" s="47" t="s">
        <v>221</v>
      </c>
      <c r="B71" s="48" t="s">
        <v>140</v>
      </c>
      <c r="C71" s="56" t="s">
        <v>77</v>
      </c>
      <c r="D71" s="97">
        <v>62</v>
      </c>
      <c r="E71" s="97"/>
      <c r="F71" s="97">
        <f t="shared" ref="F71:F73" si="8">TRUNC(D71*E71,2)</f>
        <v>0</v>
      </c>
    </row>
    <row r="72" spans="1:6" ht="24.95" customHeight="1" x14ac:dyDescent="0.25">
      <c r="A72" s="47" t="s">
        <v>222</v>
      </c>
      <c r="B72" s="48" t="s">
        <v>141</v>
      </c>
      <c r="C72" s="56" t="s">
        <v>77</v>
      </c>
      <c r="D72" s="97">
        <v>29</v>
      </c>
      <c r="E72" s="97"/>
      <c r="F72" s="97">
        <f t="shared" si="8"/>
        <v>0</v>
      </c>
    </row>
    <row r="73" spans="1:6" ht="24.95" customHeight="1" x14ac:dyDescent="0.25">
      <c r="A73" s="47" t="s">
        <v>223</v>
      </c>
      <c r="B73" s="48" t="s">
        <v>142</v>
      </c>
      <c r="C73" s="56" t="s">
        <v>77</v>
      </c>
      <c r="D73" s="97">
        <v>11</v>
      </c>
      <c r="E73" s="97"/>
      <c r="F73" s="97">
        <f t="shared" si="8"/>
        <v>0</v>
      </c>
    </row>
    <row r="74" spans="1:6" ht="24.95" customHeight="1" x14ac:dyDescent="0.25">
      <c r="A74" s="45" t="s">
        <v>224</v>
      </c>
      <c r="B74" s="46" t="s">
        <v>91</v>
      </c>
      <c r="C74" s="46" t="s">
        <v>83</v>
      </c>
      <c r="D74" s="96"/>
      <c r="E74" s="96"/>
      <c r="F74" s="96">
        <f>SUM(F75:F79)</f>
        <v>0</v>
      </c>
    </row>
    <row r="75" spans="1:6" ht="24.95" customHeight="1" x14ac:dyDescent="0.25">
      <c r="A75" s="47" t="s">
        <v>225</v>
      </c>
      <c r="B75" s="48" t="s">
        <v>143</v>
      </c>
      <c r="C75" s="56" t="s">
        <v>77</v>
      </c>
      <c r="D75" s="97">
        <v>4</v>
      </c>
      <c r="E75" s="97"/>
      <c r="F75" s="97">
        <f t="shared" ref="F75:F79" si="9">TRUNC(D75*E75,2)</f>
        <v>0</v>
      </c>
    </row>
    <row r="76" spans="1:6" ht="24.95" customHeight="1" x14ac:dyDescent="0.25">
      <c r="A76" s="47" t="s">
        <v>226</v>
      </c>
      <c r="B76" s="48" t="s">
        <v>144</v>
      </c>
      <c r="C76" s="56" t="s">
        <v>77</v>
      </c>
      <c r="D76" s="97">
        <v>15</v>
      </c>
      <c r="E76" s="97"/>
      <c r="F76" s="97">
        <f t="shared" si="9"/>
        <v>0</v>
      </c>
    </row>
    <row r="77" spans="1:6" ht="24.95" customHeight="1" x14ac:dyDescent="0.25">
      <c r="A77" s="47" t="s">
        <v>227</v>
      </c>
      <c r="B77" s="48" t="s">
        <v>145</v>
      </c>
      <c r="C77" s="56" t="s">
        <v>77</v>
      </c>
      <c r="D77" s="97">
        <v>4</v>
      </c>
      <c r="E77" s="97"/>
      <c r="F77" s="97">
        <f t="shared" si="9"/>
        <v>0</v>
      </c>
    </row>
    <row r="78" spans="1:6" ht="24.95" customHeight="1" x14ac:dyDescent="0.25">
      <c r="A78" s="47" t="s">
        <v>228</v>
      </c>
      <c r="B78" s="48" t="s">
        <v>146</v>
      </c>
      <c r="C78" s="56" t="s">
        <v>77</v>
      </c>
      <c r="D78" s="97">
        <v>2</v>
      </c>
      <c r="E78" s="97"/>
      <c r="F78" s="97">
        <f t="shared" si="9"/>
        <v>0</v>
      </c>
    </row>
    <row r="79" spans="1:6" ht="24.95" customHeight="1" x14ac:dyDescent="0.25">
      <c r="A79" s="47" t="s">
        <v>229</v>
      </c>
      <c r="B79" s="48" t="s">
        <v>147</v>
      </c>
      <c r="C79" s="56" t="s">
        <v>77</v>
      </c>
      <c r="D79" s="97">
        <v>4</v>
      </c>
      <c r="E79" s="97"/>
      <c r="F79" s="97">
        <f t="shared" si="9"/>
        <v>0</v>
      </c>
    </row>
    <row r="80" spans="1:6" ht="24.95" customHeight="1" x14ac:dyDescent="0.25">
      <c r="A80" s="45" t="s">
        <v>230</v>
      </c>
      <c r="B80" s="46" t="s">
        <v>92</v>
      </c>
      <c r="C80" s="46" t="s">
        <v>83</v>
      </c>
      <c r="D80" s="96"/>
      <c r="E80" s="96"/>
      <c r="F80" s="96">
        <f>SUM(F81:F85)</f>
        <v>0</v>
      </c>
    </row>
    <row r="81" spans="1:6" ht="24.95" customHeight="1" x14ac:dyDescent="0.25">
      <c r="A81" s="47" t="s">
        <v>231</v>
      </c>
      <c r="B81" s="48" t="s">
        <v>133</v>
      </c>
      <c r="C81" s="56" t="s">
        <v>77</v>
      </c>
      <c r="D81" s="97">
        <v>2</v>
      </c>
      <c r="E81" s="97"/>
      <c r="F81" s="97">
        <f t="shared" ref="F81:F85" si="10">TRUNC(D81*E81,2)</f>
        <v>0</v>
      </c>
    </row>
    <row r="82" spans="1:6" ht="24.95" customHeight="1" x14ac:dyDescent="0.25">
      <c r="A82" s="47" t="s">
        <v>232</v>
      </c>
      <c r="B82" s="48" t="s">
        <v>148</v>
      </c>
      <c r="C82" s="56" t="s">
        <v>77</v>
      </c>
      <c r="D82" s="97">
        <v>37</v>
      </c>
      <c r="E82" s="97"/>
      <c r="F82" s="97">
        <f t="shared" si="10"/>
        <v>0</v>
      </c>
    </row>
    <row r="83" spans="1:6" ht="24.95" customHeight="1" x14ac:dyDescent="0.25">
      <c r="A83" s="47" t="s">
        <v>233</v>
      </c>
      <c r="B83" s="48" t="s">
        <v>93</v>
      </c>
      <c r="C83" s="56" t="s">
        <v>77</v>
      </c>
      <c r="D83" s="97">
        <v>2</v>
      </c>
      <c r="E83" s="97"/>
      <c r="F83" s="97">
        <f t="shared" si="10"/>
        <v>0</v>
      </c>
    </row>
    <row r="84" spans="1:6" ht="24.95" customHeight="1" x14ac:dyDescent="0.25">
      <c r="A84" s="47" t="s">
        <v>234</v>
      </c>
      <c r="B84" s="48" t="s">
        <v>126</v>
      </c>
      <c r="C84" s="56" t="s">
        <v>77</v>
      </c>
      <c r="D84" s="97">
        <v>189</v>
      </c>
      <c r="E84" s="97"/>
      <c r="F84" s="97">
        <f t="shared" si="10"/>
        <v>0</v>
      </c>
    </row>
    <row r="85" spans="1:6" ht="24.95" customHeight="1" x14ac:dyDescent="0.25">
      <c r="A85" s="47" t="s">
        <v>235</v>
      </c>
      <c r="B85" s="48" t="s">
        <v>94</v>
      </c>
      <c r="C85" s="56" t="s">
        <v>77</v>
      </c>
      <c r="D85" s="97">
        <v>65</v>
      </c>
      <c r="E85" s="97"/>
      <c r="F85" s="97">
        <f t="shared" si="10"/>
        <v>0</v>
      </c>
    </row>
    <row r="86" spans="1:6" ht="24.95" customHeight="1" x14ac:dyDescent="0.25">
      <c r="A86" s="45" t="s">
        <v>236</v>
      </c>
      <c r="B86" s="46" t="s">
        <v>95</v>
      </c>
      <c r="C86" s="46" t="s">
        <v>83</v>
      </c>
      <c r="D86" s="96"/>
      <c r="E86" s="96"/>
      <c r="F86" s="96">
        <f>F87+F93+F95</f>
        <v>0</v>
      </c>
    </row>
    <row r="87" spans="1:6" s="52" customFormat="1" ht="24.95" customHeight="1" x14ac:dyDescent="0.25">
      <c r="A87" s="80" t="s">
        <v>237</v>
      </c>
      <c r="B87" s="51" t="s">
        <v>127</v>
      </c>
      <c r="C87" s="51" t="s">
        <v>83</v>
      </c>
      <c r="D87" s="98"/>
      <c r="E87" s="98"/>
      <c r="F87" s="98">
        <f>SUM(F88:F92)</f>
        <v>0</v>
      </c>
    </row>
    <row r="88" spans="1:6" ht="24.95" customHeight="1" x14ac:dyDescent="0.25">
      <c r="A88" s="47" t="s">
        <v>238</v>
      </c>
      <c r="B88" s="48" t="s">
        <v>149</v>
      </c>
      <c r="C88" s="56" t="s">
        <v>77</v>
      </c>
      <c r="D88" s="97">
        <v>201</v>
      </c>
      <c r="E88" s="97"/>
      <c r="F88" s="97">
        <f t="shared" ref="F88:F92" si="11">TRUNC(D88*E88,2)</f>
        <v>0</v>
      </c>
    </row>
    <row r="89" spans="1:6" ht="24.95" customHeight="1" x14ac:dyDescent="0.25">
      <c r="A89" s="47" t="s">
        <v>239</v>
      </c>
      <c r="B89" s="48" t="s">
        <v>150</v>
      </c>
      <c r="C89" s="56" t="s">
        <v>77</v>
      </c>
      <c r="D89" s="97">
        <v>1154</v>
      </c>
      <c r="E89" s="97"/>
      <c r="F89" s="97">
        <f t="shared" si="11"/>
        <v>0</v>
      </c>
    </row>
    <row r="90" spans="1:6" ht="24.95" customHeight="1" x14ac:dyDescent="0.25">
      <c r="A90" s="47" t="s">
        <v>240</v>
      </c>
      <c r="B90" s="48" t="s">
        <v>151</v>
      </c>
      <c r="C90" s="56" t="s">
        <v>77</v>
      </c>
      <c r="D90" s="97">
        <v>227</v>
      </c>
      <c r="E90" s="97"/>
      <c r="F90" s="97">
        <f t="shared" si="11"/>
        <v>0</v>
      </c>
    </row>
    <row r="91" spans="1:6" ht="24.95" customHeight="1" x14ac:dyDescent="0.25">
      <c r="A91" s="47" t="s">
        <v>241</v>
      </c>
      <c r="B91" s="48" t="s">
        <v>152</v>
      </c>
      <c r="C91" s="56" t="s">
        <v>77</v>
      </c>
      <c r="D91" s="97">
        <v>98</v>
      </c>
      <c r="E91" s="97"/>
      <c r="F91" s="97">
        <f t="shared" si="11"/>
        <v>0</v>
      </c>
    </row>
    <row r="92" spans="1:6" ht="24.95" customHeight="1" x14ac:dyDescent="0.25">
      <c r="A92" s="47" t="s">
        <v>242</v>
      </c>
      <c r="B92" s="48" t="s">
        <v>128</v>
      </c>
      <c r="C92" s="56" t="s">
        <v>77</v>
      </c>
      <c r="D92" s="97">
        <v>107</v>
      </c>
      <c r="E92" s="97"/>
      <c r="F92" s="97">
        <f t="shared" si="11"/>
        <v>0</v>
      </c>
    </row>
    <row r="93" spans="1:6" s="52" customFormat="1" ht="24.95" customHeight="1" x14ac:dyDescent="0.25">
      <c r="A93" s="80" t="s">
        <v>243</v>
      </c>
      <c r="B93" s="51" t="s">
        <v>96</v>
      </c>
      <c r="C93" s="51" t="s">
        <v>83</v>
      </c>
      <c r="D93" s="98"/>
      <c r="E93" s="98"/>
      <c r="F93" s="98">
        <f>SUM(F94)</f>
        <v>0</v>
      </c>
    </row>
    <row r="94" spans="1:6" ht="24.95" customHeight="1" x14ac:dyDescent="0.25">
      <c r="A94" s="47" t="s">
        <v>244</v>
      </c>
      <c r="B94" s="48" t="s">
        <v>135</v>
      </c>
      <c r="C94" s="56" t="s">
        <v>77</v>
      </c>
      <c r="D94" s="97">
        <v>80</v>
      </c>
      <c r="E94" s="97"/>
      <c r="F94" s="97">
        <f t="shared" ref="F94" si="12">TRUNC(D94*E94,2)</f>
        <v>0</v>
      </c>
    </row>
    <row r="95" spans="1:6" s="52" customFormat="1" ht="24.95" customHeight="1" x14ac:dyDescent="0.25">
      <c r="A95" s="80" t="s">
        <v>245</v>
      </c>
      <c r="B95" s="51" t="s">
        <v>97</v>
      </c>
      <c r="C95" s="51" t="s">
        <v>83</v>
      </c>
      <c r="D95" s="98"/>
      <c r="E95" s="98"/>
      <c r="F95" s="98">
        <f>SUM(F96:F98)</f>
        <v>0</v>
      </c>
    </row>
    <row r="96" spans="1:6" ht="24.95" customHeight="1" x14ac:dyDescent="0.25">
      <c r="A96" s="47" t="s">
        <v>246</v>
      </c>
      <c r="B96" s="48" t="s">
        <v>156</v>
      </c>
      <c r="C96" s="56" t="s">
        <v>80</v>
      </c>
      <c r="D96" s="97">
        <v>14850.5</v>
      </c>
      <c r="E96" s="97"/>
      <c r="F96" s="97">
        <f t="shared" ref="F96:F98" si="13">TRUNC(D96*E96,2)</f>
        <v>0</v>
      </c>
    </row>
    <row r="97" spans="1:6" ht="24.95" customHeight="1" x14ac:dyDescent="0.25">
      <c r="A97" s="47" t="s">
        <v>247</v>
      </c>
      <c r="B97" s="48" t="s">
        <v>153</v>
      </c>
      <c r="C97" s="56" t="s">
        <v>80</v>
      </c>
      <c r="D97" s="97">
        <v>23826.2</v>
      </c>
      <c r="E97" s="97"/>
      <c r="F97" s="97">
        <f t="shared" si="13"/>
        <v>0</v>
      </c>
    </row>
    <row r="98" spans="1:6" ht="24.95" customHeight="1" x14ac:dyDescent="0.25">
      <c r="A98" s="47" t="s">
        <v>248</v>
      </c>
      <c r="B98" s="48" t="s">
        <v>154</v>
      </c>
      <c r="C98" s="56" t="s">
        <v>81</v>
      </c>
      <c r="D98" s="97">
        <v>2335.9</v>
      </c>
      <c r="E98" s="97"/>
      <c r="F98" s="97">
        <f t="shared" si="13"/>
        <v>0</v>
      </c>
    </row>
    <row r="99" spans="1:6" ht="24.95" customHeight="1" x14ac:dyDescent="0.25">
      <c r="A99" s="45" t="s">
        <v>249</v>
      </c>
      <c r="B99" s="46" t="s">
        <v>98</v>
      </c>
      <c r="C99" s="46" t="s">
        <v>83</v>
      </c>
      <c r="D99" s="96"/>
      <c r="E99" s="96"/>
      <c r="F99" s="96">
        <f>F100</f>
        <v>0</v>
      </c>
    </row>
    <row r="100" spans="1:6" s="52" customFormat="1" ht="24.95" customHeight="1" x14ac:dyDescent="0.25">
      <c r="A100" s="80" t="s">
        <v>250</v>
      </c>
      <c r="B100" s="51" t="s">
        <v>129</v>
      </c>
      <c r="C100" s="51" t="s">
        <v>83</v>
      </c>
      <c r="D100" s="98"/>
      <c r="E100" s="98"/>
      <c r="F100" s="98">
        <f>SUM(F101:F103)</f>
        <v>0</v>
      </c>
    </row>
    <row r="101" spans="1:6" ht="24.95" customHeight="1" x14ac:dyDescent="0.25">
      <c r="A101" s="47" t="s">
        <v>251</v>
      </c>
      <c r="B101" s="48" t="s">
        <v>130</v>
      </c>
      <c r="C101" s="56" t="s">
        <v>77</v>
      </c>
      <c r="D101" s="97">
        <v>39</v>
      </c>
      <c r="E101" s="97"/>
      <c r="F101" s="97">
        <f t="shared" ref="F101:F103" si="14">TRUNC(D101*E101,2)</f>
        <v>0</v>
      </c>
    </row>
    <row r="102" spans="1:6" s="83" customFormat="1" ht="24.95" customHeight="1" x14ac:dyDescent="0.25">
      <c r="A102" s="47" t="s">
        <v>252</v>
      </c>
      <c r="B102" s="48" t="s">
        <v>131</v>
      </c>
      <c r="C102" s="56" t="s">
        <v>77</v>
      </c>
      <c r="D102" s="97">
        <v>40</v>
      </c>
      <c r="E102" s="97"/>
      <c r="F102" s="97">
        <f t="shared" si="14"/>
        <v>0</v>
      </c>
    </row>
    <row r="103" spans="1:6" s="83" customFormat="1" ht="24.95" customHeight="1" x14ac:dyDescent="0.25">
      <c r="A103" s="47" t="s">
        <v>253</v>
      </c>
      <c r="B103" s="48" t="s">
        <v>132</v>
      </c>
      <c r="C103" s="56" t="s">
        <v>77</v>
      </c>
      <c r="D103" s="97">
        <v>129</v>
      </c>
      <c r="E103" s="97"/>
      <c r="F103" s="97">
        <f t="shared" si="14"/>
        <v>0</v>
      </c>
    </row>
    <row r="104" spans="1:6" s="83" customFormat="1" ht="24.95" customHeight="1" x14ac:dyDescent="0.25">
      <c r="A104" s="79"/>
      <c r="B104" s="59"/>
      <c r="C104" s="60"/>
      <c r="D104" s="93"/>
      <c r="E104" s="110"/>
      <c r="F104" s="93"/>
    </row>
    <row r="105" spans="1:6" s="83" customFormat="1" ht="24.95" customHeight="1" x14ac:dyDescent="0.25">
      <c r="A105" s="81"/>
      <c r="B105" s="50" t="s">
        <v>82</v>
      </c>
      <c r="C105" s="50"/>
      <c r="D105" s="95"/>
      <c r="E105" s="112"/>
      <c r="F105" s="74">
        <f>F13</f>
        <v>0</v>
      </c>
    </row>
    <row r="106" spans="1:6" s="83" customFormat="1" ht="5.25" customHeight="1" x14ac:dyDescent="0.25">
      <c r="A106" s="47"/>
      <c r="B106" s="48"/>
      <c r="C106" s="48"/>
      <c r="D106" s="97"/>
      <c r="E106" s="97"/>
      <c r="F106" s="99"/>
    </row>
    <row r="107" spans="1:6" s="83" customFormat="1" ht="24.95" customHeight="1" x14ac:dyDescent="0.25">
      <c r="A107" s="81"/>
      <c r="B107" s="50" t="s">
        <v>170</v>
      </c>
      <c r="C107" s="84"/>
      <c r="D107" s="95"/>
      <c r="E107" s="112"/>
      <c r="F107" s="74">
        <f>$C$107*F105</f>
        <v>0</v>
      </c>
    </row>
    <row r="108" spans="1:6" s="83" customFormat="1" ht="5.25" customHeight="1" x14ac:dyDescent="0.25">
      <c r="A108" s="47"/>
      <c r="B108" s="48"/>
      <c r="C108" s="48"/>
      <c r="D108" s="97"/>
      <c r="E108" s="97"/>
      <c r="F108" s="99"/>
    </row>
    <row r="109" spans="1:6" s="83" customFormat="1" ht="24.95" customHeight="1" x14ac:dyDescent="0.25">
      <c r="A109" s="82"/>
      <c r="B109" s="53" t="s">
        <v>164</v>
      </c>
      <c r="C109" s="53"/>
      <c r="D109" s="115"/>
      <c r="E109" s="116"/>
      <c r="F109" s="75">
        <f>F105+F107</f>
        <v>0</v>
      </c>
    </row>
    <row r="110" spans="1:6" s="83" customFormat="1" ht="5.25" customHeight="1" x14ac:dyDescent="0.25">
      <c r="A110" s="47"/>
      <c r="B110" s="48"/>
      <c r="C110" s="48"/>
      <c r="D110" s="97"/>
      <c r="E110" s="97"/>
      <c r="F110" s="97"/>
    </row>
    <row r="111" spans="1:6" s="83" customFormat="1" ht="24.95" customHeight="1" x14ac:dyDescent="0.25">
      <c r="A111" s="76"/>
      <c r="B111" s="54"/>
      <c r="C111" s="55"/>
      <c r="D111" s="117"/>
      <c r="E111" s="101"/>
      <c r="F111" s="90"/>
    </row>
    <row r="112" spans="1:6" s="83" customFormat="1" ht="24.95" customHeight="1" x14ac:dyDescent="0.25">
      <c r="A112" s="76"/>
      <c r="B112" s="54"/>
      <c r="C112" s="55"/>
      <c r="D112" s="118"/>
      <c r="E112" s="119"/>
      <c r="F112" s="100"/>
    </row>
    <row r="113" spans="1:6" s="83" customFormat="1" ht="24.95" customHeight="1" x14ac:dyDescent="0.25">
      <c r="A113" s="76"/>
      <c r="B113" s="54"/>
      <c r="C113" s="55"/>
      <c r="D113" s="120"/>
      <c r="E113" s="119"/>
      <c r="F113" s="100"/>
    </row>
    <row r="114" spans="1:6" s="83" customFormat="1" ht="24.95" customHeight="1" x14ac:dyDescent="0.25">
      <c r="A114" s="76"/>
      <c r="B114" s="54"/>
      <c r="C114" s="55"/>
      <c r="D114" s="90"/>
      <c r="E114" s="119"/>
      <c r="F114" s="100"/>
    </row>
    <row r="115" spans="1:6" s="83" customFormat="1" ht="24.95" customHeight="1" x14ac:dyDescent="0.25">
      <c r="A115" s="76"/>
      <c r="B115" s="54"/>
      <c r="C115" s="55"/>
      <c r="D115" s="90"/>
      <c r="E115" s="119"/>
      <c r="F115" s="100"/>
    </row>
  </sheetData>
  <mergeCells count="5">
    <mergeCell ref="E11:F11"/>
    <mergeCell ref="A2:F2"/>
    <mergeCell ref="C3:D3"/>
    <mergeCell ref="C4:D4"/>
    <mergeCell ref="A10:F10"/>
  </mergeCells>
  <pageMargins left="0.51181102362204722" right="0.51181102362204722" top="0.78740157480314965" bottom="0.78740157480314965" header="0.31496062992125984" footer="0.31496062992125984"/>
  <pageSetup paperSize="9" scale="57" fitToHeight="30" orientation="portrait" r:id="rId1"/>
  <rowBreaks count="1" manualBreakCount="1">
    <brk id="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Plan1</vt:lpstr>
      <vt:lpstr>FINAL</vt:lpstr>
      <vt:lpstr>FINAL!Area_de_impressao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Marília</cp:lastModifiedBy>
  <cp:lastPrinted>2013-11-07T10:45:56Z</cp:lastPrinted>
  <dcterms:created xsi:type="dcterms:W3CDTF">2013-01-29T10:57:01Z</dcterms:created>
  <dcterms:modified xsi:type="dcterms:W3CDTF">2013-11-07T17:09:28Z</dcterms:modified>
</cp:coreProperties>
</file>